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ocuments\Trabajo 2025\Nómina\Nóminas 2025\JUNIO\"/>
    </mc:Choice>
  </mc:AlternateContent>
  <bookViews>
    <workbookView xWindow="0" yWindow="0" windowWidth="20490" windowHeight="7620" tabRatio="438"/>
  </bookViews>
  <sheets>
    <sheet name="Hoja1" sheetId="1" r:id="rId1"/>
    <sheet name="CORRECCIONES" sheetId="2" r:id="rId2"/>
  </sheets>
  <definedNames>
    <definedName name="Transparencia_fijos" localSheetId="1">CORRECCIONES!$C$1:$N$525</definedName>
    <definedName name="Transparencia_fijos" localSheetId="0">Hoja1!$C$1:$N$520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21" i="1" l="1"/>
  <c r="M521" i="1"/>
  <c r="L521" i="1"/>
  <c r="K521" i="1"/>
  <c r="J521" i="1"/>
  <c r="M506" i="1" l="1"/>
  <c r="L238" i="1" l="1"/>
  <c r="M202" i="1"/>
  <c r="M139" i="1" l="1"/>
  <c r="L14" i="1" l="1"/>
  <c r="M493" i="1"/>
  <c r="N493" i="1" s="1"/>
  <c r="B494" i="1"/>
  <c r="B493" i="1"/>
  <c r="N489" i="1"/>
  <c r="M489" i="1"/>
  <c r="L520" i="1" l="1"/>
  <c r="G521" i="1" l="1"/>
  <c r="H511" i="1"/>
  <c r="N511" i="1" l="1"/>
  <c r="M511" i="1"/>
  <c r="J527" i="2" l="1"/>
  <c r="G526" i="2"/>
  <c r="M525" i="2"/>
  <c r="N525" i="2" s="1"/>
  <c r="L525" i="2"/>
  <c r="M524" i="2"/>
  <c r="N524" i="2" s="1"/>
  <c r="M523" i="2"/>
  <c r="N523" i="2" s="1"/>
  <c r="M522" i="2"/>
  <c r="N522" i="2" s="1"/>
  <c r="L521" i="2"/>
  <c r="M521" i="2" s="1"/>
  <c r="N521" i="2" s="1"/>
  <c r="M520" i="2"/>
  <c r="N520" i="2" s="1"/>
  <c r="M519" i="2"/>
  <c r="N519" i="2" s="1"/>
  <c r="M518" i="2"/>
  <c r="N518" i="2" s="1"/>
  <c r="M517" i="2"/>
  <c r="N517" i="2" s="1"/>
  <c r="H517" i="2"/>
  <c r="M516" i="2"/>
  <c r="H516" i="2"/>
  <c r="N516" i="2" s="1"/>
  <c r="M515" i="2"/>
  <c r="H515" i="2"/>
  <c r="M514" i="2"/>
  <c r="H514" i="2"/>
  <c r="N514" i="2" s="1"/>
  <c r="M513" i="2"/>
  <c r="N513" i="2" s="1"/>
  <c r="H513" i="2"/>
  <c r="H512" i="2"/>
  <c r="N512" i="2" s="1"/>
  <c r="M511" i="2"/>
  <c r="H511" i="2"/>
  <c r="M510" i="2"/>
  <c r="N510" i="2" s="1"/>
  <c r="M509" i="2"/>
  <c r="N509" i="2" s="1"/>
  <c r="M508" i="2"/>
  <c r="N508" i="2" s="1"/>
  <c r="L507" i="2"/>
  <c r="M507" i="2" s="1"/>
  <c r="N507" i="2" s="1"/>
  <c r="M506" i="2"/>
  <c r="N506" i="2" s="1"/>
  <c r="L505" i="2"/>
  <c r="M505" i="2" s="1"/>
  <c r="N505" i="2" s="1"/>
  <c r="L504" i="2"/>
  <c r="M504" i="2" s="1"/>
  <c r="N504" i="2" s="1"/>
  <c r="M503" i="2"/>
  <c r="N503" i="2" s="1"/>
  <c r="L502" i="2"/>
  <c r="M502" i="2" s="1"/>
  <c r="N502" i="2" s="1"/>
  <c r="L501" i="2"/>
  <c r="M501" i="2" s="1"/>
  <c r="N501" i="2" s="1"/>
  <c r="M500" i="2"/>
  <c r="N500" i="2" s="1"/>
  <c r="K499" i="2"/>
  <c r="H499" i="2"/>
  <c r="I499" i="2" s="1"/>
  <c r="M499" i="2" s="1"/>
  <c r="N499" i="2" s="1"/>
  <c r="M498" i="2"/>
  <c r="N498" i="2" s="1"/>
  <c r="M497" i="2"/>
  <c r="N497" i="2" s="1"/>
  <c r="M496" i="2"/>
  <c r="N496" i="2" s="1"/>
  <c r="M495" i="2"/>
  <c r="N495" i="2" s="1"/>
  <c r="M494" i="2"/>
  <c r="N494" i="2" s="1"/>
  <c r="M493" i="2"/>
  <c r="N493" i="2" s="1"/>
  <c r="M492" i="2"/>
  <c r="N492" i="2" s="1"/>
  <c r="M491" i="2"/>
  <c r="N491" i="2" s="1"/>
  <c r="M490" i="2"/>
  <c r="N490" i="2" s="1"/>
  <c r="M489" i="2"/>
  <c r="N489" i="2" s="1"/>
  <c r="M488" i="2"/>
  <c r="N488" i="2" s="1"/>
  <c r="M487" i="2"/>
  <c r="N487" i="2" s="1"/>
  <c r="M486" i="2"/>
  <c r="N486" i="2" s="1"/>
  <c r="M485" i="2"/>
  <c r="N485" i="2" s="1"/>
  <c r="M484" i="2"/>
  <c r="N484" i="2" s="1"/>
  <c r="M483" i="2"/>
  <c r="N483" i="2" s="1"/>
  <c r="M482" i="2"/>
  <c r="N482" i="2" s="1"/>
  <c r="M481" i="2"/>
  <c r="N481" i="2" s="1"/>
  <c r="M480" i="2"/>
  <c r="N480" i="2" s="1"/>
  <c r="M479" i="2"/>
  <c r="N479" i="2" s="1"/>
  <c r="M478" i="2"/>
  <c r="N478" i="2" s="1"/>
  <c r="M477" i="2"/>
  <c r="N477" i="2" s="1"/>
  <c r="M476" i="2"/>
  <c r="N476" i="2" s="1"/>
  <c r="M475" i="2"/>
  <c r="N475" i="2" s="1"/>
  <c r="M474" i="2"/>
  <c r="N474" i="2" s="1"/>
  <c r="M473" i="2"/>
  <c r="N473" i="2" s="1"/>
  <c r="N472" i="2"/>
  <c r="M472" i="2"/>
  <c r="M471" i="2"/>
  <c r="N471" i="2" s="1"/>
  <c r="M470" i="2"/>
  <c r="N470" i="2" s="1"/>
  <c r="M469" i="2"/>
  <c r="N469" i="2" s="1"/>
  <c r="M468" i="2"/>
  <c r="N468" i="2" s="1"/>
  <c r="M467" i="2"/>
  <c r="N467" i="2" s="1"/>
  <c r="M466" i="2"/>
  <c r="N466" i="2" s="1"/>
  <c r="M465" i="2"/>
  <c r="N465" i="2" s="1"/>
  <c r="M464" i="2"/>
  <c r="N464" i="2" s="1"/>
  <c r="M463" i="2"/>
  <c r="N463" i="2" s="1"/>
  <c r="M462" i="2"/>
  <c r="N462" i="2" s="1"/>
  <c r="M461" i="2"/>
  <c r="N461" i="2" s="1"/>
  <c r="M460" i="2"/>
  <c r="N460" i="2" s="1"/>
  <c r="M459" i="2"/>
  <c r="N459" i="2" s="1"/>
  <c r="M458" i="2"/>
  <c r="N458" i="2" s="1"/>
  <c r="M457" i="2"/>
  <c r="N457" i="2" s="1"/>
  <c r="N456" i="2"/>
  <c r="M456" i="2"/>
  <c r="M455" i="2"/>
  <c r="N455" i="2" s="1"/>
  <c r="M454" i="2"/>
  <c r="N454" i="2" s="1"/>
  <c r="M453" i="2"/>
  <c r="N453" i="2" s="1"/>
  <c r="M452" i="2"/>
  <c r="N452" i="2" s="1"/>
  <c r="M451" i="2"/>
  <c r="N451" i="2" s="1"/>
  <c r="M450" i="2"/>
  <c r="N450" i="2" s="1"/>
  <c r="M449" i="2"/>
  <c r="N449" i="2" s="1"/>
  <c r="M448" i="2"/>
  <c r="N448" i="2" s="1"/>
  <c r="L447" i="2"/>
  <c r="M447" i="2" s="1"/>
  <c r="N447" i="2" s="1"/>
  <c r="M446" i="2"/>
  <c r="N446" i="2" s="1"/>
  <c r="M445" i="2"/>
  <c r="N445" i="2" s="1"/>
  <c r="M444" i="2"/>
  <c r="N444" i="2" s="1"/>
  <c r="M443" i="2"/>
  <c r="N443" i="2" s="1"/>
  <c r="L442" i="2"/>
  <c r="M442" i="2" s="1"/>
  <c r="N442" i="2" s="1"/>
  <c r="M441" i="2"/>
  <c r="N441" i="2" s="1"/>
  <c r="M440" i="2"/>
  <c r="N440" i="2" s="1"/>
  <c r="L439" i="2"/>
  <c r="M439" i="2" s="1"/>
  <c r="N439" i="2" s="1"/>
  <c r="M438" i="2"/>
  <c r="N438" i="2" s="1"/>
  <c r="L437" i="2"/>
  <c r="M437" i="2" s="1"/>
  <c r="N437" i="2" s="1"/>
  <c r="M436" i="2"/>
  <c r="N436" i="2" s="1"/>
  <c r="M435" i="2"/>
  <c r="N435" i="2" s="1"/>
  <c r="L434" i="2"/>
  <c r="M434" i="2" s="1"/>
  <c r="N434" i="2" s="1"/>
  <c r="M433" i="2"/>
  <c r="N433" i="2" s="1"/>
  <c r="M432" i="2"/>
  <c r="N432" i="2" s="1"/>
  <c r="M431" i="2"/>
  <c r="N431" i="2" s="1"/>
  <c r="L430" i="2"/>
  <c r="M430" i="2" s="1"/>
  <c r="N430" i="2" s="1"/>
  <c r="M429" i="2"/>
  <c r="N429" i="2" s="1"/>
  <c r="N428" i="2"/>
  <c r="L427" i="2"/>
  <c r="M427" i="2" s="1"/>
  <c r="N427" i="2" s="1"/>
  <c r="M426" i="2"/>
  <c r="N426" i="2" s="1"/>
  <c r="M425" i="2"/>
  <c r="N425" i="2" s="1"/>
  <c r="M424" i="2"/>
  <c r="N424" i="2" s="1"/>
  <c r="L423" i="2"/>
  <c r="M423" i="2" s="1"/>
  <c r="N423" i="2" s="1"/>
  <c r="M422" i="2"/>
  <c r="N422" i="2" s="1"/>
  <c r="M421" i="2"/>
  <c r="N421" i="2" s="1"/>
  <c r="M420" i="2"/>
  <c r="N420" i="2" s="1"/>
  <c r="M419" i="2"/>
  <c r="N419" i="2" s="1"/>
  <c r="L418" i="2"/>
  <c r="M418" i="2" s="1"/>
  <c r="N418" i="2" s="1"/>
  <c r="M417" i="2"/>
  <c r="N417" i="2" s="1"/>
  <c r="L416" i="2"/>
  <c r="M416" i="2" s="1"/>
  <c r="N416" i="2" s="1"/>
  <c r="L415" i="2"/>
  <c r="M415" i="2" s="1"/>
  <c r="N415" i="2" s="1"/>
  <c r="M414" i="2"/>
  <c r="N414" i="2" s="1"/>
  <c r="M413" i="2"/>
  <c r="N413" i="2" s="1"/>
  <c r="M412" i="2"/>
  <c r="N412" i="2" s="1"/>
  <c r="M411" i="2"/>
  <c r="N411" i="2" s="1"/>
  <c r="M410" i="2"/>
  <c r="N410" i="2" s="1"/>
  <c r="L409" i="2"/>
  <c r="M409" i="2" s="1"/>
  <c r="N409" i="2" s="1"/>
  <c r="L408" i="2"/>
  <c r="M408" i="2" s="1"/>
  <c r="N408" i="2" s="1"/>
  <c r="M407" i="2"/>
  <c r="N407" i="2" s="1"/>
  <c r="M406" i="2"/>
  <c r="N406" i="2" s="1"/>
  <c r="L405" i="2"/>
  <c r="M405" i="2" s="1"/>
  <c r="N405" i="2" s="1"/>
  <c r="M404" i="2"/>
  <c r="N404" i="2" s="1"/>
  <c r="L403" i="2"/>
  <c r="M403" i="2" s="1"/>
  <c r="N403" i="2" s="1"/>
  <c r="M402" i="2"/>
  <c r="N402" i="2" s="1"/>
  <c r="M401" i="2"/>
  <c r="N401" i="2" s="1"/>
  <c r="M400" i="2"/>
  <c r="N400" i="2" s="1"/>
  <c r="M399" i="2"/>
  <c r="N399" i="2" s="1"/>
  <c r="M398" i="2"/>
  <c r="N398" i="2" s="1"/>
  <c r="L397" i="2"/>
  <c r="M397" i="2" s="1"/>
  <c r="N397" i="2" s="1"/>
  <c r="M396" i="2"/>
  <c r="N396" i="2" s="1"/>
  <c r="M395" i="2"/>
  <c r="N395" i="2" s="1"/>
  <c r="M394" i="2"/>
  <c r="N394" i="2" s="1"/>
  <c r="L393" i="2"/>
  <c r="M393" i="2" s="1"/>
  <c r="N393" i="2" s="1"/>
  <c r="M392" i="2"/>
  <c r="N392" i="2" s="1"/>
  <c r="L391" i="2"/>
  <c r="M391" i="2" s="1"/>
  <c r="N391" i="2" s="1"/>
  <c r="L390" i="2"/>
  <c r="M390" i="2" s="1"/>
  <c r="N390" i="2" s="1"/>
  <c r="L389" i="2"/>
  <c r="M389" i="2" s="1"/>
  <c r="N389" i="2" s="1"/>
  <c r="M388" i="2"/>
  <c r="N388" i="2" s="1"/>
  <c r="M387" i="2"/>
  <c r="N387" i="2" s="1"/>
  <c r="M386" i="2"/>
  <c r="N386" i="2" s="1"/>
  <c r="M385" i="2"/>
  <c r="N385" i="2" s="1"/>
  <c r="M384" i="2"/>
  <c r="N384" i="2" s="1"/>
  <c r="M383" i="2"/>
  <c r="N383" i="2" s="1"/>
  <c r="L382" i="2"/>
  <c r="M382" i="2" s="1"/>
  <c r="N382" i="2" s="1"/>
  <c r="N381" i="2"/>
  <c r="M381" i="2"/>
  <c r="M380" i="2"/>
  <c r="N380" i="2" s="1"/>
  <c r="M379" i="2"/>
  <c r="N379" i="2" s="1"/>
  <c r="M378" i="2"/>
  <c r="N378" i="2" s="1"/>
  <c r="M377" i="2"/>
  <c r="N377" i="2" s="1"/>
  <c r="L376" i="2"/>
  <c r="M376" i="2" s="1"/>
  <c r="N376" i="2" s="1"/>
  <c r="M375" i="2"/>
  <c r="N375" i="2" s="1"/>
  <c r="M374" i="2"/>
  <c r="N374" i="2" s="1"/>
  <c r="M373" i="2"/>
  <c r="N373" i="2" s="1"/>
  <c r="M372" i="2"/>
  <c r="N372" i="2" s="1"/>
  <c r="M371" i="2"/>
  <c r="N371" i="2" s="1"/>
  <c r="M370" i="2"/>
  <c r="N370" i="2" s="1"/>
  <c r="L369" i="2"/>
  <c r="M369" i="2" s="1"/>
  <c r="N369" i="2" s="1"/>
  <c r="M368" i="2"/>
  <c r="N368" i="2" s="1"/>
  <c r="M367" i="2"/>
  <c r="N367" i="2" s="1"/>
  <c r="M366" i="2"/>
  <c r="N366" i="2" s="1"/>
  <c r="M365" i="2"/>
  <c r="N365" i="2" s="1"/>
  <c r="M364" i="2"/>
  <c r="N364" i="2" s="1"/>
  <c r="M363" i="2"/>
  <c r="N363" i="2" s="1"/>
  <c r="M362" i="2"/>
  <c r="N362" i="2" s="1"/>
  <c r="M361" i="2"/>
  <c r="N361" i="2" s="1"/>
  <c r="M360" i="2"/>
  <c r="N360" i="2" s="1"/>
  <c r="M359" i="2"/>
  <c r="N359" i="2" s="1"/>
  <c r="M358" i="2"/>
  <c r="N358" i="2" s="1"/>
  <c r="L357" i="2"/>
  <c r="M357" i="2" s="1"/>
  <c r="N357" i="2" s="1"/>
  <c r="M356" i="2"/>
  <c r="N356" i="2" s="1"/>
  <c r="L355" i="2"/>
  <c r="M355" i="2" s="1"/>
  <c r="N355" i="2" s="1"/>
  <c r="M354" i="2"/>
  <c r="N354" i="2" s="1"/>
  <c r="M353" i="2"/>
  <c r="N353" i="2" s="1"/>
  <c r="M352" i="2"/>
  <c r="N352" i="2" s="1"/>
  <c r="M351" i="2"/>
  <c r="N351" i="2" s="1"/>
  <c r="L350" i="2"/>
  <c r="M350" i="2" s="1"/>
  <c r="N350" i="2" s="1"/>
  <c r="M349" i="2"/>
  <c r="N349" i="2" s="1"/>
  <c r="M348" i="2"/>
  <c r="N348" i="2" s="1"/>
  <c r="M347" i="2"/>
  <c r="N347" i="2" s="1"/>
  <c r="L346" i="2"/>
  <c r="M346" i="2" s="1"/>
  <c r="N346" i="2" s="1"/>
  <c r="L345" i="2"/>
  <c r="M345" i="2" s="1"/>
  <c r="N345" i="2" s="1"/>
  <c r="M344" i="2"/>
  <c r="N344" i="2" s="1"/>
  <c r="L343" i="2"/>
  <c r="M343" i="2" s="1"/>
  <c r="N343" i="2" s="1"/>
  <c r="M342" i="2"/>
  <c r="N342" i="2" s="1"/>
  <c r="M341" i="2"/>
  <c r="N341" i="2" s="1"/>
  <c r="M340" i="2"/>
  <c r="N340" i="2" s="1"/>
  <c r="M339" i="2"/>
  <c r="N339" i="2" s="1"/>
  <c r="M338" i="2"/>
  <c r="N338" i="2" s="1"/>
  <c r="M337" i="2"/>
  <c r="N337" i="2" s="1"/>
  <c r="M336" i="2"/>
  <c r="N336" i="2" s="1"/>
  <c r="M335" i="2"/>
  <c r="N335" i="2" s="1"/>
  <c r="M334" i="2"/>
  <c r="N334" i="2" s="1"/>
  <c r="M333" i="2"/>
  <c r="N333" i="2" s="1"/>
  <c r="M332" i="2"/>
  <c r="N332" i="2" s="1"/>
  <c r="M331" i="2"/>
  <c r="N331" i="2" s="1"/>
  <c r="M330" i="2"/>
  <c r="N330" i="2" s="1"/>
  <c r="M329" i="2"/>
  <c r="N329" i="2" s="1"/>
  <c r="M328" i="2"/>
  <c r="N328" i="2" s="1"/>
  <c r="M327" i="2"/>
  <c r="N327" i="2" s="1"/>
  <c r="M326" i="2"/>
  <c r="N326" i="2" s="1"/>
  <c r="N325" i="2"/>
  <c r="M325" i="2"/>
  <c r="M324" i="2"/>
  <c r="N324" i="2" s="1"/>
  <c r="M323" i="2"/>
  <c r="N323" i="2" s="1"/>
  <c r="M322" i="2"/>
  <c r="N322" i="2" s="1"/>
  <c r="M321" i="2"/>
  <c r="N321" i="2" s="1"/>
  <c r="M320" i="2"/>
  <c r="N320" i="2" s="1"/>
  <c r="M319" i="2"/>
  <c r="N319" i="2" s="1"/>
  <c r="M318" i="2"/>
  <c r="N318" i="2" s="1"/>
  <c r="L317" i="2"/>
  <c r="M317" i="2" s="1"/>
  <c r="N317" i="2" s="1"/>
  <c r="M316" i="2"/>
  <c r="N316" i="2" s="1"/>
  <c r="M315" i="2"/>
  <c r="N315" i="2" s="1"/>
  <c r="M314" i="2"/>
  <c r="N314" i="2" s="1"/>
  <c r="M313" i="2"/>
  <c r="N313" i="2" s="1"/>
  <c r="L312" i="2"/>
  <c r="M312" i="2" s="1"/>
  <c r="N312" i="2" s="1"/>
  <c r="M311" i="2"/>
  <c r="N311" i="2" s="1"/>
  <c r="M310" i="2"/>
  <c r="N310" i="2" s="1"/>
  <c r="L310" i="2"/>
  <c r="M309" i="2"/>
  <c r="N309" i="2" s="1"/>
  <c r="L308" i="2"/>
  <c r="M308" i="2" s="1"/>
  <c r="N308" i="2" s="1"/>
  <c r="M307" i="2"/>
  <c r="N307" i="2" s="1"/>
  <c r="M306" i="2"/>
  <c r="N306" i="2" s="1"/>
  <c r="M305" i="2"/>
  <c r="N305" i="2" s="1"/>
  <c r="L304" i="2"/>
  <c r="M304" i="2" s="1"/>
  <c r="N304" i="2" s="1"/>
  <c r="L303" i="2"/>
  <c r="M303" i="2" s="1"/>
  <c r="N303" i="2" s="1"/>
  <c r="M302" i="2"/>
  <c r="N302" i="2" s="1"/>
  <c r="L301" i="2"/>
  <c r="M301" i="2" s="1"/>
  <c r="N301" i="2" s="1"/>
  <c r="L300" i="2"/>
  <c r="M300" i="2" s="1"/>
  <c r="N300" i="2" s="1"/>
  <c r="M299" i="2"/>
  <c r="N299" i="2" s="1"/>
  <c r="L298" i="2"/>
  <c r="M298" i="2" s="1"/>
  <c r="N298" i="2" s="1"/>
  <c r="M297" i="2"/>
  <c r="N297" i="2" s="1"/>
  <c r="M296" i="2"/>
  <c r="N296" i="2" s="1"/>
  <c r="M295" i="2"/>
  <c r="N295" i="2" s="1"/>
  <c r="M294" i="2"/>
  <c r="N294" i="2" s="1"/>
  <c r="L293" i="2"/>
  <c r="M293" i="2" s="1"/>
  <c r="N293" i="2" s="1"/>
  <c r="L292" i="2"/>
  <c r="M292" i="2" s="1"/>
  <c r="N292" i="2" s="1"/>
  <c r="M291" i="2"/>
  <c r="N291" i="2" s="1"/>
  <c r="M290" i="2"/>
  <c r="N290" i="2" s="1"/>
  <c r="M289" i="2"/>
  <c r="N289" i="2" s="1"/>
  <c r="M288" i="2"/>
  <c r="N288" i="2" s="1"/>
  <c r="M287" i="2"/>
  <c r="N287" i="2" s="1"/>
  <c r="L286" i="2"/>
  <c r="M286" i="2" s="1"/>
  <c r="N286" i="2" s="1"/>
  <c r="L285" i="2"/>
  <c r="M285" i="2" s="1"/>
  <c r="N285" i="2" s="1"/>
  <c r="L284" i="2"/>
  <c r="M284" i="2" s="1"/>
  <c r="N284" i="2" s="1"/>
  <c r="L283" i="2"/>
  <c r="M283" i="2" s="1"/>
  <c r="N283" i="2" s="1"/>
  <c r="M282" i="2"/>
  <c r="N282" i="2" s="1"/>
  <c r="M281" i="2"/>
  <c r="N281" i="2" s="1"/>
  <c r="L280" i="2"/>
  <c r="M280" i="2" s="1"/>
  <c r="N280" i="2" s="1"/>
  <c r="M279" i="2"/>
  <c r="N279" i="2" s="1"/>
  <c r="M278" i="2"/>
  <c r="N278" i="2" s="1"/>
  <c r="L277" i="2"/>
  <c r="M277" i="2" s="1"/>
  <c r="N277" i="2" s="1"/>
  <c r="M276" i="2"/>
  <c r="N276" i="2" s="1"/>
  <c r="L275" i="2"/>
  <c r="M275" i="2" s="1"/>
  <c r="N275" i="2" s="1"/>
  <c r="L274" i="2"/>
  <c r="M274" i="2" s="1"/>
  <c r="N274" i="2" s="1"/>
  <c r="L273" i="2"/>
  <c r="M273" i="2" s="1"/>
  <c r="N273" i="2" s="1"/>
  <c r="M272" i="2"/>
  <c r="N272" i="2" s="1"/>
  <c r="M271" i="2"/>
  <c r="N271" i="2" s="1"/>
  <c r="M270" i="2"/>
  <c r="N270" i="2" s="1"/>
  <c r="M269" i="2"/>
  <c r="N269" i="2" s="1"/>
  <c r="M268" i="2"/>
  <c r="N268" i="2" s="1"/>
  <c r="L267" i="2"/>
  <c r="M267" i="2" s="1"/>
  <c r="N267" i="2" s="1"/>
  <c r="L266" i="2"/>
  <c r="M266" i="2" s="1"/>
  <c r="N266" i="2" s="1"/>
  <c r="L265" i="2"/>
  <c r="M265" i="2" s="1"/>
  <c r="N265" i="2" s="1"/>
  <c r="L264" i="2"/>
  <c r="M264" i="2" s="1"/>
  <c r="N264" i="2" s="1"/>
  <c r="M263" i="2"/>
  <c r="N263" i="2" s="1"/>
  <c r="N262" i="2"/>
  <c r="M262" i="2"/>
  <c r="L261" i="2"/>
  <c r="M261" i="2" s="1"/>
  <c r="N261" i="2" s="1"/>
  <c r="L260" i="2"/>
  <c r="M260" i="2" s="1"/>
  <c r="N260" i="2" s="1"/>
  <c r="L259" i="2"/>
  <c r="M259" i="2" s="1"/>
  <c r="N259" i="2" s="1"/>
  <c r="L258" i="2"/>
  <c r="M258" i="2" s="1"/>
  <c r="N258" i="2" s="1"/>
  <c r="L257" i="2"/>
  <c r="M257" i="2" s="1"/>
  <c r="N257" i="2" s="1"/>
  <c r="L256" i="2"/>
  <c r="M256" i="2" s="1"/>
  <c r="N256" i="2" s="1"/>
  <c r="M255" i="2"/>
  <c r="N255" i="2" s="1"/>
  <c r="L254" i="2"/>
  <c r="M254" i="2" s="1"/>
  <c r="N254" i="2" s="1"/>
  <c r="L253" i="2"/>
  <c r="M253" i="2" s="1"/>
  <c r="N253" i="2" s="1"/>
  <c r="L252" i="2"/>
  <c r="M252" i="2" s="1"/>
  <c r="N252" i="2" s="1"/>
  <c r="N251" i="2"/>
  <c r="M251" i="2"/>
  <c r="M250" i="2"/>
  <c r="N250" i="2" s="1"/>
  <c r="N249" i="2"/>
  <c r="M249" i="2"/>
  <c r="M248" i="2"/>
  <c r="N248" i="2" s="1"/>
  <c r="M247" i="2"/>
  <c r="N247" i="2" s="1"/>
  <c r="M246" i="2"/>
  <c r="N246" i="2" s="1"/>
  <c r="L245" i="2"/>
  <c r="M245" i="2" s="1"/>
  <c r="N245" i="2" s="1"/>
  <c r="L244" i="2"/>
  <c r="M244" i="2" s="1"/>
  <c r="N244" i="2" s="1"/>
  <c r="L243" i="2"/>
  <c r="M243" i="2" s="1"/>
  <c r="N243" i="2" s="1"/>
  <c r="M242" i="2"/>
  <c r="N242" i="2" s="1"/>
  <c r="L241" i="2"/>
  <c r="M241" i="2" s="1"/>
  <c r="N241" i="2" s="1"/>
  <c r="L240" i="2"/>
  <c r="M240" i="2" s="1"/>
  <c r="N240" i="2" s="1"/>
  <c r="M239" i="2"/>
  <c r="N239" i="2" s="1"/>
  <c r="L238" i="2"/>
  <c r="M238" i="2" s="1"/>
  <c r="N238" i="2" s="1"/>
  <c r="L237" i="2"/>
  <c r="M237" i="2" s="1"/>
  <c r="N237" i="2" s="1"/>
  <c r="L236" i="2"/>
  <c r="M236" i="2" s="1"/>
  <c r="N236" i="2" s="1"/>
  <c r="L235" i="2"/>
  <c r="M235" i="2" s="1"/>
  <c r="N235" i="2" s="1"/>
  <c r="M234" i="2"/>
  <c r="N234" i="2" s="1"/>
  <c r="L233" i="2"/>
  <c r="M233" i="2" s="1"/>
  <c r="N233" i="2" s="1"/>
  <c r="M232" i="2"/>
  <c r="N232" i="2" s="1"/>
  <c r="M231" i="2"/>
  <c r="N231" i="2" s="1"/>
  <c r="L230" i="2"/>
  <c r="M230" i="2" s="1"/>
  <c r="N230" i="2" s="1"/>
  <c r="M229" i="2"/>
  <c r="N229" i="2" s="1"/>
  <c r="L228" i="2"/>
  <c r="M228" i="2" s="1"/>
  <c r="N228" i="2" s="1"/>
  <c r="M227" i="2"/>
  <c r="N227" i="2" s="1"/>
  <c r="M226" i="2"/>
  <c r="N226" i="2" s="1"/>
  <c r="M225" i="2"/>
  <c r="N225" i="2" s="1"/>
  <c r="L224" i="2"/>
  <c r="M224" i="2" s="1"/>
  <c r="N224" i="2" s="1"/>
  <c r="M223" i="2"/>
  <c r="N223" i="2" s="1"/>
  <c r="M222" i="2"/>
  <c r="N222" i="2" s="1"/>
  <c r="M221" i="2"/>
  <c r="N221" i="2" s="1"/>
  <c r="M220" i="2"/>
  <c r="N220" i="2" s="1"/>
  <c r="M219" i="2"/>
  <c r="N219" i="2" s="1"/>
  <c r="M218" i="2"/>
  <c r="N218" i="2" s="1"/>
  <c r="M217" i="2"/>
  <c r="N217" i="2" s="1"/>
  <c r="M216" i="2"/>
  <c r="N216" i="2" s="1"/>
  <c r="M215" i="2"/>
  <c r="N215" i="2" s="1"/>
  <c r="M214" i="2"/>
  <c r="N214" i="2" s="1"/>
  <c r="M213" i="2"/>
  <c r="N213" i="2" s="1"/>
  <c r="L212" i="2"/>
  <c r="M212" i="2" s="1"/>
  <c r="N212" i="2" s="1"/>
  <c r="L211" i="2"/>
  <c r="M211" i="2" s="1"/>
  <c r="N211" i="2" s="1"/>
  <c r="L210" i="2"/>
  <c r="M210" i="2" s="1"/>
  <c r="N210" i="2" s="1"/>
  <c r="M209" i="2"/>
  <c r="N209" i="2" s="1"/>
  <c r="L208" i="2"/>
  <c r="M208" i="2" s="1"/>
  <c r="N208" i="2" s="1"/>
  <c r="N207" i="2"/>
  <c r="M207" i="2"/>
  <c r="L206" i="2"/>
  <c r="M206" i="2" s="1"/>
  <c r="N206" i="2" s="1"/>
  <c r="M205" i="2"/>
  <c r="N205" i="2" s="1"/>
  <c r="N204" i="2"/>
  <c r="L204" i="2"/>
  <c r="M203" i="2"/>
  <c r="N203" i="2" s="1"/>
  <c r="M202" i="2"/>
  <c r="N202" i="2" s="1"/>
  <c r="M201" i="2"/>
  <c r="N201" i="2" s="1"/>
  <c r="L200" i="2"/>
  <c r="M200" i="2" s="1"/>
  <c r="N200" i="2" s="1"/>
  <c r="L199" i="2"/>
  <c r="M199" i="2" s="1"/>
  <c r="N199" i="2" s="1"/>
  <c r="L198" i="2"/>
  <c r="M198" i="2" s="1"/>
  <c r="N198" i="2" s="1"/>
  <c r="L197" i="2"/>
  <c r="M197" i="2" s="1"/>
  <c r="N197" i="2" s="1"/>
  <c r="M196" i="2"/>
  <c r="N196" i="2" s="1"/>
  <c r="L196" i="2"/>
  <c r="L195" i="2"/>
  <c r="M195" i="2" s="1"/>
  <c r="N195" i="2" s="1"/>
  <c r="K194" i="2"/>
  <c r="I194" i="2"/>
  <c r="M194" i="2" s="1"/>
  <c r="N194" i="2" s="1"/>
  <c r="H194" i="2"/>
  <c r="K193" i="2"/>
  <c r="I193" i="2"/>
  <c r="M193" i="2" s="1"/>
  <c r="N193" i="2" s="1"/>
  <c r="H193" i="2"/>
  <c r="K192" i="2"/>
  <c r="I192" i="2"/>
  <c r="M192" i="2" s="1"/>
  <c r="N192" i="2" s="1"/>
  <c r="H192" i="2"/>
  <c r="M191" i="2"/>
  <c r="N191" i="2" s="1"/>
  <c r="M190" i="2"/>
  <c r="N190" i="2" s="1"/>
  <c r="M189" i="2"/>
  <c r="N189" i="2" s="1"/>
  <c r="M188" i="2"/>
  <c r="N188" i="2" s="1"/>
  <c r="M187" i="2"/>
  <c r="N187" i="2" s="1"/>
  <c r="M186" i="2"/>
  <c r="N186" i="2" s="1"/>
  <c r="M185" i="2"/>
  <c r="N185" i="2" s="1"/>
  <c r="M184" i="2"/>
  <c r="N184" i="2" s="1"/>
  <c r="M183" i="2"/>
  <c r="N183" i="2" s="1"/>
  <c r="M182" i="2"/>
  <c r="N182" i="2" s="1"/>
  <c r="M181" i="2"/>
  <c r="N181" i="2" s="1"/>
  <c r="M180" i="2"/>
  <c r="N180" i="2" s="1"/>
  <c r="M179" i="2"/>
  <c r="N179" i="2" s="1"/>
  <c r="M178" i="2"/>
  <c r="N178" i="2" s="1"/>
  <c r="M177" i="2"/>
  <c r="N177" i="2" s="1"/>
  <c r="M176" i="2"/>
  <c r="N176" i="2" s="1"/>
  <c r="M175" i="2"/>
  <c r="N175" i="2" s="1"/>
  <c r="M174" i="2"/>
  <c r="N174" i="2" s="1"/>
  <c r="L173" i="2"/>
  <c r="M173" i="2" s="1"/>
  <c r="N173" i="2" s="1"/>
  <c r="L172" i="2"/>
  <c r="M172" i="2" s="1"/>
  <c r="N172" i="2" s="1"/>
  <c r="M171" i="2"/>
  <c r="N171" i="2" s="1"/>
  <c r="M170" i="2"/>
  <c r="N170" i="2" s="1"/>
  <c r="M169" i="2"/>
  <c r="N169" i="2" s="1"/>
  <c r="M168" i="2"/>
  <c r="N168" i="2" s="1"/>
  <c r="M167" i="2"/>
  <c r="N167" i="2" s="1"/>
  <c r="M166" i="2"/>
  <c r="N166" i="2" s="1"/>
  <c r="L165" i="2"/>
  <c r="M165" i="2" s="1"/>
  <c r="N165" i="2" s="1"/>
  <c r="M164" i="2"/>
  <c r="N164" i="2" s="1"/>
  <c r="M163" i="2"/>
  <c r="N163" i="2" s="1"/>
  <c r="M162" i="2"/>
  <c r="N162" i="2" s="1"/>
  <c r="M161" i="2"/>
  <c r="N161" i="2" s="1"/>
  <c r="M160" i="2"/>
  <c r="N160" i="2" s="1"/>
  <c r="M159" i="2"/>
  <c r="N159" i="2" s="1"/>
  <c r="L158" i="2"/>
  <c r="M158" i="2" s="1"/>
  <c r="N158" i="2" s="1"/>
  <c r="M157" i="2"/>
  <c r="N157" i="2" s="1"/>
  <c r="M156" i="2"/>
  <c r="N156" i="2" s="1"/>
  <c r="M155" i="2"/>
  <c r="N155" i="2" s="1"/>
  <c r="N154" i="2"/>
  <c r="M154" i="2"/>
  <c r="M153" i="2"/>
  <c r="N153" i="2" s="1"/>
  <c r="M152" i="2"/>
  <c r="N152" i="2" s="1"/>
  <c r="L151" i="2"/>
  <c r="M151" i="2" s="1"/>
  <c r="N151" i="2" s="1"/>
  <c r="M150" i="2"/>
  <c r="N150" i="2" s="1"/>
  <c r="N149" i="2"/>
  <c r="M149" i="2"/>
  <c r="M148" i="2"/>
  <c r="N148" i="2" s="1"/>
  <c r="M147" i="2"/>
  <c r="N147" i="2" s="1"/>
  <c r="M146" i="2"/>
  <c r="N146" i="2" s="1"/>
  <c r="M145" i="2"/>
  <c r="N145" i="2" s="1"/>
  <c r="M144" i="2"/>
  <c r="N144" i="2" s="1"/>
  <c r="M143" i="2"/>
  <c r="N143" i="2" s="1"/>
  <c r="M142" i="2"/>
  <c r="N142" i="2" s="1"/>
  <c r="M141" i="2"/>
  <c r="N141" i="2" s="1"/>
  <c r="N140" i="2"/>
  <c r="M139" i="2"/>
  <c r="N139" i="2" s="1"/>
  <c r="M138" i="2"/>
  <c r="N138" i="2" s="1"/>
  <c r="N137" i="2"/>
  <c r="M137" i="2"/>
  <c r="M136" i="2"/>
  <c r="N136" i="2" s="1"/>
  <c r="M135" i="2"/>
  <c r="N135" i="2" s="1"/>
  <c r="M134" i="2"/>
  <c r="N134" i="2" s="1"/>
  <c r="M133" i="2"/>
  <c r="N133" i="2" s="1"/>
  <c r="L132" i="2"/>
  <c r="M132" i="2" s="1"/>
  <c r="N132" i="2" s="1"/>
  <c r="M131" i="2"/>
  <c r="N131" i="2" s="1"/>
  <c r="M130" i="2"/>
  <c r="N130" i="2" s="1"/>
  <c r="M129" i="2"/>
  <c r="N129" i="2" s="1"/>
  <c r="N128" i="2"/>
  <c r="M128" i="2"/>
  <c r="M127" i="2"/>
  <c r="N127" i="2" s="1"/>
  <c r="N126" i="2"/>
  <c r="M126" i="2"/>
  <c r="M125" i="2"/>
  <c r="N125" i="2" s="1"/>
  <c r="M124" i="2"/>
  <c r="N124" i="2" s="1"/>
  <c r="M123" i="2"/>
  <c r="N123" i="2" s="1"/>
  <c r="L122" i="2"/>
  <c r="M122" i="2" s="1"/>
  <c r="N122" i="2" s="1"/>
  <c r="M121" i="2"/>
  <c r="N121" i="2" s="1"/>
  <c r="M120" i="2"/>
  <c r="N120" i="2" s="1"/>
  <c r="M119" i="2"/>
  <c r="N119" i="2" s="1"/>
  <c r="M118" i="2"/>
  <c r="N118" i="2" s="1"/>
  <c r="M117" i="2"/>
  <c r="N117" i="2" s="1"/>
  <c r="M116" i="2"/>
  <c r="N116" i="2" s="1"/>
  <c r="M115" i="2"/>
  <c r="N115" i="2" s="1"/>
  <c r="M114" i="2"/>
  <c r="N114" i="2" s="1"/>
  <c r="N113" i="2"/>
  <c r="M113" i="2"/>
  <c r="M112" i="2"/>
  <c r="N112" i="2" s="1"/>
  <c r="L111" i="2"/>
  <c r="M111" i="2" s="1"/>
  <c r="N111" i="2" s="1"/>
  <c r="M110" i="2"/>
  <c r="N110" i="2" s="1"/>
  <c r="M109" i="2"/>
  <c r="N109" i="2" s="1"/>
  <c r="L108" i="2"/>
  <c r="M108" i="2" s="1"/>
  <c r="N108" i="2" s="1"/>
  <c r="L107" i="2"/>
  <c r="M107" i="2" s="1"/>
  <c r="N107" i="2" s="1"/>
  <c r="L106" i="2"/>
  <c r="M106" i="2" s="1"/>
  <c r="N106" i="2" s="1"/>
  <c r="L105" i="2"/>
  <c r="M105" i="2" s="1"/>
  <c r="N105" i="2" s="1"/>
  <c r="M104" i="2"/>
  <c r="N104" i="2" s="1"/>
  <c r="L103" i="2"/>
  <c r="M103" i="2" s="1"/>
  <c r="N103" i="2" s="1"/>
  <c r="M102" i="2"/>
  <c r="N102" i="2" s="1"/>
  <c r="M101" i="2"/>
  <c r="N101" i="2" s="1"/>
  <c r="L101" i="2"/>
  <c r="M100" i="2"/>
  <c r="N100" i="2" s="1"/>
  <c r="M99" i="2"/>
  <c r="N99" i="2" s="1"/>
  <c r="M98" i="2"/>
  <c r="N98" i="2" s="1"/>
  <c r="M97" i="2"/>
  <c r="N97" i="2" s="1"/>
  <c r="M96" i="2"/>
  <c r="N96" i="2" s="1"/>
  <c r="M95" i="2"/>
  <c r="N95" i="2" s="1"/>
  <c r="L94" i="2"/>
  <c r="M94" i="2" s="1"/>
  <c r="N94" i="2" s="1"/>
  <c r="M93" i="2"/>
  <c r="N93" i="2" s="1"/>
  <c r="M92" i="2"/>
  <c r="N92" i="2" s="1"/>
  <c r="M91" i="2"/>
  <c r="N91" i="2" s="1"/>
  <c r="M90" i="2"/>
  <c r="N90" i="2" s="1"/>
  <c r="M89" i="2"/>
  <c r="N89" i="2" s="1"/>
  <c r="M88" i="2"/>
  <c r="N88" i="2" s="1"/>
  <c r="M87" i="2"/>
  <c r="N87" i="2" s="1"/>
  <c r="M86" i="2"/>
  <c r="N86" i="2" s="1"/>
  <c r="M85" i="2"/>
  <c r="N85" i="2" s="1"/>
  <c r="N84" i="2"/>
  <c r="M84" i="2"/>
  <c r="M83" i="2"/>
  <c r="N83" i="2" s="1"/>
  <c r="M82" i="2"/>
  <c r="N82" i="2" s="1"/>
  <c r="M81" i="2"/>
  <c r="N81" i="2" s="1"/>
  <c r="L80" i="2"/>
  <c r="M80" i="2" s="1"/>
  <c r="N80" i="2" s="1"/>
  <c r="M79" i="2"/>
  <c r="N79" i="2" s="1"/>
  <c r="M78" i="2"/>
  <c r="N78" i="2" s="1"/>
  <c r="M77" i="2"/>
  <c r="N77" i="2" s="1"/>
  <c r="M76" i="2"/>
  <c r="N76" i="2" s="1"/>
  <c r="M75" i="2"/>
  <c r="N75" i="2" s="1"/>
  <c r="M74" i="2"/>
  <c r="N74" i="2" s="1"/>
  <c r="M73" i="2"/>
  <c r="N73" i="2" s="1"/>
  <c r="L72" i="2"/>
  <c r="M72" i="2" s="1"/>
  <c r="N72" i="2" s="1"/>
  <c r="M71" i="2"/>
  <c r="N71" i="2" s="1"/>
  <c r="N70" i="2"/>
  <c r="M70" i="2"/>
  <c r="M69" i="2"/>
  <c r="N69" i="2" s="1"/>
  <c r="L69" i="2"/>
  <c r="M68" i="2"/>
  <c r="N68" i="2" s="1"/>
  <c r="M67" i="2"/>
  <c r="N67" i="2" s="1"/>
  <c r="L66" i="2"/>
  <c r="M66" i="2" s="1"/>
  <c r="N66" i="2" s="1"/>
  <c r="M65" i="2"/>
  <c r="N65" i="2" s="1"/>
  <c r="L64" i="2"/>
  <c r="M64" i="2" s="1"/>
  <c r="N64" i="2" s="1"/>
  <c r="M63" i="2"/>
  <c r="N63" i="2" s="1"/>
  <c r="L62" i="2"/>
  <c r="M62" i="2" s="1"/>
  <c r="N62" i="2" s="1"/>
  <c r="M61" i="2"/>
  <c r="N61" i="2" s="1"/>
  <c r="M60" i="2"/>
  <c r="N60" i="2" s="1"/>
  <c r="L60" i="2"/>
  <c r="L59" i="2"/>
  <c r="M59" i="2" s="1"/>
  <c r="N59" i="2" s="1"/>
  <c r="L58" i="2"/>
  <c r="M58" i="2" s="1"/>
  <c r="N58" i="2" s="1"/>
  <c r="L57" i="2"/>
  <c r="M57" i="2" s="1"/>
  <c r="N57" i="2" s="1"/>
  <c r="L56" i="2"/>
  <c r="M56" i="2" s="1"/>
  <c r="N56" i="2" s="1"/>
  <c r="L55" i="2"/>
  <c r="M55" i="2" s="1"/>
  <c r="N55" i="2" s="1"/>
  <c r="M54" i="2"/>
  <c r="N54" i="2" s="1"/>
  <c r="M53" i="2"/>
  <c r="N53" i="2" s="1"/>
  <c r="B53" i="2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L52" i="2"/>
  <c r="M52" i="2" s="1"/>
  <c r="N52" i="2" s="1"/>
  <c r="M51" i="2"/>
  <c r="N51" i="2" s="1"/>
  <c r="M50" i="2"/>
  <c r="N50" i="2" s="1"/>
  <c r="M49" i="2"/>
  <c r="N49" i="2" s="1"/>
  <c r="L48" i="2"/>
  <c r="M48" i="2" s="1"/>
  <c r="N48" i="2" s="1"/>
  <c r="M47" i="2"/>
  <c r="N47" i="2" s="1"/>
  <c r="N46" i="2"/>
  <c r="M46" i="2"/>
  <c r="N45" i="2"/>
  <c r="M45" i="2"/>
  <c r="L44" i="2"/>
  <c r="M44" i="2" s="1"/>
  <c r="N44" i="2" s="1"/>
  <c r="L43" i="2"/>
  <c r="M43" i="2" s="1"/>
  <c r="N43" i="2" s="1"/>
  <c r="L42" i="2"/>
  <c r="M42" i="2" s="1"/>
  <c r="N42" i="2" s="1"/>
  <c r="M41" i="2"/>
  <c r="N41" i="2" s="1"/>
  <c r="L40" i="2"/>
  <c r="K40" i="2"/>
  <c r="I40" i="2"/>
  <c r="H40" i="2"/>
  <c r="M39" i="2"/>
  <c r="N39" i="2" s="1"/>
  <c r="M38" i="2"/>
  <c r="N38" i="2" s="1"/>
  <c r="N37" i="2"/>
  <c r="M37" i="2"/>
  <c r="M36" i="2"/>
  <c r="N36" i="2" s="1"/>
  <c r="L35" i="2"/>
  <c r="M35" i="2" s="1"/>
  <c r="N35" i="2" s="1"/>
  <c r="M34" i="2"/>
  <c r="N34" i="2" s="1"/>
  <c r="L33" i="2"/>
  <c r="M33" i="2" s="1"/>
  <c r="N33" i="2" s="1"/>
  <c r="M32" i="2"/>
  <c r="N32" i="2" s="1"/>
  <c r="M31" i="2"/>
  <c r="N31" i="2" s="1"/>
  <c r="N30" i="2"/>
  <c r="M30" i="2"/>
  <c r="M29" i="2"/>
  <c r="N29" i="2" s="1"/>
  <c r="M28" i="2"/>
  <c r="N28" i="2" s="1"/>
  <c r="L27" i="2"/>
  <c r="M27" i="2" s="1"/>
  <c r="N27" i="2" s="1"/>
  <c r="M26" i="2"/>
  <c r="N26" i="2" s="1"/>
  <c r="L25" i="2"/>
  <c r="M25" i="2" s="1"/>
  <c r="N25" i="2" s="1"/>
  <c r="L24" i="2"/>
  <c r="M24" i="2" s="1"/>
  <c r="N24" i="2" s="1"/>
  <c r="M23" i="2"/>
  <c r="N23" i="2" s="1"/>
  <c r="L23" i="2"/>
  <c r="M22" i="2"/>
  <c r="N22" i="2" s="1"/>
  <c r="L21" i="2"/>
  <c r="M21" i="2" s="1"/>
  <c r="N21" i="2" s="1"/>
  <c r="J21" i="2"/>
  <c r="L20" i="2"/>
  <c r="M20" i="2" s="1"/>
  <c r="N20" i="2" s="1"/>
  <c r="H20" i="2"/>
  <c r="M19" i="2"/>
  <c r="N19" i="2" s="1"/>
  <c r="N18" i="2"/>
  <c r="M17" i="2"/>
  <c r="N17" i="2" s="1"/>
  <c r="L16" i="2"/>
  <c r="M16" i="2" s="1"/>
  <c r="N16" i="2" s="1"/>
  <c r="L15" i="2"/>
  <c r="M15" i="2" s="1"/>
  <c r="N15" i="2" s="1"/>
  <c r="L14" i="2"/>
  <c r="M14" i="2" s="1"/>
  <c r="N14" i="2" s="1"/>
  <c r="L13" i="2"/>
  <c r="M13" i="2" s="1"/>
  <c r="N13" i="2" s="1"/>
  <c r="M11" i="2"/>
  <c r="N11" i="2" s="1"/>
  <c r="M10" i="2"/>
  <c r="N10" i="2" s="1"/>
  <c r="L9" i="2"/>
  <c r="M9" i="2" s="1"/>
  <c r="N9" i="2" s="1"/>
  <c r="M8" i="2"/>
  <c r="N8" i="2" s="1"/>
  <c r="M7" i="2"/>
  <c r="N7" i="2" s="1"/>
  <c r="L6" i="2"/>
  <c r="M6" i="2" s="1"/>
  <c r="N6" i="2" s="1"/>
  <c r="B6" i="2"/>
  <c r="B7" i="2" s="1"/>
  <c r="B8" i="2" s="1"/>
  <c r="B9" i="2" s="1"/>
  <c r="B10" i="2" s="1"/>
  <c r="B11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M5" i="2"/>
  <c r="N5" i="2" s="1"/>
  <c r="M16" i="1"/>
  <c r="M293" i="1"/>
  <c r="N293" i="1" s="1"/>
  <c r="M292" i="1"/>
  <c r="N292" i="1" s="1"/>
  <c r="M50" i="1"/>
  <c r="N50" i="1" s="1"/>
  <c r="M49" i="1"/>
  <c r="N49" i="1" s="1"/>
  <c r="B52" i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N515" i="2" l="1"/>
  <c r="N511" i="2"/>
  <c r="M40" i="2"/>
  <c r="N40" i="2" s="1"/>
  <c r="H526" i="2"/>
  <c r="I526" i="2"/>
  <c r="B66" i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M27" i="1"/>
  <c r="M28" i="1"/>
  <c r="L341" i="1" l="1"/>
  <c r="N28" i="1" l="1"/>
  <c r="N27" i="1"/>
  <c r="N17" i="1"/>
  <c r="L15" i="1" l="1"/>
  <c r="M518" i="1" l="1"/>
  <c r="N518" i="1" s="1"/>
  <c r="L404" i="1" l="1"/>
  <c r="L270" i="1"/>
  <c r="L42" i="1"/>
  <c r="L32" i="1"/>
  <c r="L282" i="1"/>
  <c r="L171" i="1"/>
  <c r="L65" i="1"/>
  <c r="L210" i="1"/>
  <c r="L172" i="1"/>
  <c r="L501" i="1"/>
  <c r="L106" i="1"/>
  <c r="L197" i="1"/>
  <c r="L34" i="1"/>
  <c r="L398" i="1"/>
  <c r="M517" i="1"/>
  <c r="L206" i="1"/>
  <c r="L12" i="1"/>
  <c r="L13" i="1"/>
  <c r="L289" i="1"/>
  <c r="L105" i="1"/>
  <c r="M250" i="1"/>
  <c r="L274" i="1"/>
  <c r="L296" i="1"/>
  <c r="L388" i="1" l="1"/>
  <c r="M134" i="1"/>
  <c r="L429" i="1"/>
  <c r="M369" i="1"/>
  <c r="N369" i="1" s="1"/>
  <c r="L364" i="1"/>
  <c r="L432" i="1"/>
  <c r="L498" i="1"/>
  <c r="L299" i="1"/>
  <c r="L100" i="1"/>
  <c r="L233" i="1"/>
  <c r="L259" i="1"/>
  <c r="L54" i="1"/>
  <c r="L198" i="1"/>
  <c r="L56" i="1"/>
  <c r="L9" i="1"/>
  <c r="M244" i="1" l="1"/>
  <c r="N244" i="1" s="1"/>
  <c r="L495" i="1"/>
  <c r="L131" i="1"/>
  <c r="M131" i="1" s="1"/>
  <c r="N131" i="1" s="1"/>
  <c r="L252" i="1"/>
  <c r="M252" i="1" s="1"/>
  <c r="N252" i="1" s="1"/>
  <c r="L400" i="1"/>
  <c r="M400" i="1" s="1"/>
  <c r="N400" i="1" s="1"/>
  <c r="M355" i="1"/>
  <c r="N355" i="1" s="1"/>
  <c r="L43" i="1"/>
  <c r="M43" i="1" s="1"/>
  <c r="N43" i="1" s="1"/>
  <c r="L340" i="1"/>
  <c r="M340" i="1" s="1"/>
  <c r="N340" i="1" s="1"/>
  <c r="M236" i="1"/>
  <c r="N236" i="1" s="1"/>
  <c r="M337" i="1"/>
  <c r="M46" i="1"/>
  <c r="M341" i="1"/>
  <c r="L263" i="1"/>
  <c r="L196" i="1"/>
  <c r="L41" i="1"/>
  <c r="L58" i="1"/>
  <c r="M58" i="1" s="1"/>
  <c r="N58" i="1" s="1"/>
  <c r="L208" i="1"/>
  <c r="L209" i="1" l="1"/>
  <c r="M209" i="1" s="1"/>
  <c r="N209" i="1" s="1"/>
  <c r="M22" i="1"/>
  <c r="N22" i="1" s="1"/>
  <c r="L257" i="1"/>
  <c r="M257" i="1" s="1"/>
  <c r="N257" i="1" s="1"/>
  <c r="M40" i="1"/>
  <c r="N40" i="1" s="1"/>
  <c r="M214" i="1"/>
  <c r="N214" i="1" s="1"/>
  <c r="M110" i="1"/>
  <c r="N110" i="1" s="1"/>
  <c r="M98" i="1"/>
  <c r="N98" i="1" s="1"/>
  <c r="M238" i="1"/>
  <c r="N238" i="1" s="1"/>
  <c r="L93" i="1"/>
  <c r="M93" i="1" s="1"/>
  <c r="N93" i="1" s="1"/>
  <c r="L6" i="1"/>
  <c r="M6" i="1" s="1"/>
  <c r="L51" i="1"/>
  <c r="M51" i="1" s="1"/>
  <c r="N51" i="1" s="1"/>
  <c r="M196" i="1"/>
  <c r="N196" i="1" s="1"/>
  <c r="M145" i="1"/>
  <c r="N145" i="1" s="1"/>
  <c r="M41" i="1"/>
  <c r="N41" i="1" s="1"/>
  <c r="M208" i="1"/>
  <c r="N208" i="1" s="1"/>
  <c r="M14" i="1"/>
  <c r="N14" i="1" s="1"/>
  <c r="B6" i="1" l="1"/>
  <c r="B7" i="1" s="1"/>
  <c r="L47" i="1" l="1"/>
  <c r="L242" i="1"/>
  <c r="L350" i="1"/>
  <c r="L204" i="1"/>
  <c r="L262" i="1"/>
  <c r="L288" i="1"/>
  <c r="L228" i="1"/>
  <c r="M263" i="1"/>
  <c r="N263" i="1" s="1"/>
  <c r="L516" i="1" l="1"/>
  <c r="L280" i="1"/>
  <c r="L281" i="1"/>
  <c r="M23" i="1"/>
  <c r="N23" i="1" s="1"/>
  <c r="L272" i="1"/>
  <c r="L226" i="1"/>
  <c r="L251" i="1"/>
  <c r="L277" i="1"/>
  <c r="L243" i="1"/>
  <c r="L413" i="1"/>
  <c r="L338" i="1"/>
  <c r="L271" i="1"/>
  <c r="L194" i="1"/>
  <c r="L283" i="1"/>
  <c r="M513" i="1" l="1"/>
  <c r="N513" i="1" s="1"/>
  <c r="M512" i="1"/>
  <c r="N512" i="1" s="1"/>
  <c r="H512" i="1"/>
  <c r="M510" i="1"/>
  <c r="M509" i="1"/>
  <c r="H510" i="1"/>
  <c r="N517" i="1"/>
  <c r="M519" i="1"/>
  <c r="N519" i="1" s="1"/>
  <c r="M520" i="1"/>
  <c r="N520" i="1" s="1"/>
  <c r="N510" i="1" l="1"/>
  <c r="B8" i="1"/>
  <c r="B9" i="1" s="1"/>
  <c r="B10" i="1" s="1"/>
  <c r="B11" i="1" s="1"/>
  <c r="B12" i="1" s="1"/>
  <c r="B13" i="1" s="1"/>
  <c r="B14" i="1" s="1"/>
  <c r="B15" i="1" s="1"/>
  <c r="B16" i="1" s="1"/>
  <c r="B17" i="1" l="1"/>
  <c r="B18" i="1" s="1"/>
  <c r="B19" i="1" s="1"/>
  <c r="B20" i="1" s="1"/>
  <c r="B21" i="1" s="1"/>
  <c r="B22" i="1" s="1"/>
  <c r="B23" i="1" s="1"/>
  <c r="B24" i="1" s="1"/>
  <c r="B25" i="1" s="1"/>
  <c r="B26" i="1" s="1"/>
  <c r="L418" i="1"/>
  <c r="L104" i="1"/>
  <c r="B27" i="1" l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L425" i="1"/>
  <c r="L403" i="1" l="1"/>
  <c r="B91" i="1" l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M268" i="1"/>
  <c r="N268" i="1" s="1"/>
  <c r="B105" i="1" l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M507" i="1"/>
  <c r="M508" i="1"/>
  <c r="M505" i="1"/>
  <c r="H506" i="1"/>
  <c r="H507" i="1"/>
  <c r="H508" i="1"/>
  <c r="H509" i="1"/>
  <c r="N509" i="1" s="1"/>
  <c r="H505" i="1"/>
  <c r="B178" i="1" l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N506" i="1"/>
  <c r="N508" i="1"/>
  <c r="N507" i="1"/>
  <c r="N505" i="1"/>
  <c r="L107" i="1"/>
  <c r="L150" i="1"/>
  <c r="L68" i="1"/>
  <c r="M377" i="1"/>
  <c r="B256" i="1" l="1"/>
  <c r="B257" i="1" s="1"/>
  <c r="B258" i="1" s="1"/>
  <c r="B259" i="1" s="1"/>
  <c r="B260" i="1" s="1"/>
  <c r="B261" i="1" s="1"/>
  <c r="B262" i="1" s="1"/>
  <c r="L308" i="1"/>
  <c r="L164" i="1"/>
  <c r="B263" i="1" l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M516" i="1"/>
  <c r="N516" i="1" s="1"/>
  <c r="M515" i="1"/>
  <c r="N515" i="1" s="1"/>
  <c r="M514" i="1"/>
  <c r="N514" i="1" s="1"/>
  <c r="M504" i="1"/>
  <c r="N504" i="1" s="1"/>
  <c r="M503" i="1"/>
  <c r="N503" i="1" s="1"/>
  <c r="M502" i="1"/>
  <c r="N502" i="1" s="1"/>
  <c r="M501" i="1"/>
  <c r="N501" i="1" s="1"/>
  <c r="M500" i="1"/>
  <c r="N500" i="1" s="1"/>
  <c r="L499" i="1"/>
  <c r="M499" i="1" s="1"/>
  <c r="N499" i="1" s="1"/>
  <c r="M498" i="1"/>
  <c r="N498" i="1" s="1"/>
  <c r="M497" i="1"/>
  <c r="N497" i="1" s="1"/>
  <c r="L496" i="1"/>
  <c r="M496" i="1" s="1"/>
  <c r="N496" i="1" s="1"/>
  <c r="M495" i="1"/>
  <c r="N495" i="1" s="1"/>
  <c r="M494" i="1"/>
  <c r="N494" i="1" s="1"/>
  <c r="B288" i="1" l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L422" i="1"/>
  <c r="L231" i="1"/>
  <c r="L256" i="1"/>
  <c r="L371" i="1"/>
  <c r="L433" i="1"/>
  <c r="L352" i="1"/>
  <c r="L121" i="1"/>
  <c r="L254" i="1"/>
  <c r="B331" i="1" l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L222" i="1"/>
  <c r="B433" i="1" l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L102" i="1"/>
  <c r="L57" i="1"/>
  <c r="L297" i="1"/>
  <c r="B489" i="1" l="1"/>
  <c r="B490" i="1" s="1"/>
  <c r="B491" i="1" s="1"/>
  <c r="B492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L436" i="1"/>
  <c r="L441" i="1"/>
  <c r="M198" i="1"/>
  <c r="N198" i="1" s="1"/>
  <c r="B511" i="1" l="1"/>
  <c r="B512" i="1" s="1"/>
  <c r="B513" i="1" s="1"/>
  <c r="B514" i="1" s="1"/>
  <c r="B515" i="1" s="1"/>
  <c r="B516" i="1" s="1"/>
  <c r="B517" i="1" s="1"/>
  <c r="B518" i="1" s="1"/>
  <c r="B519" i="1" s="1"/>
  <c r="B520" i="1" s="1"/>
  <c r="H192" i="1"/>
  <c r="I192" i="1"/>
  <c r="K192" i="1"/>
  <c r="L63" i="1"/>
  <c r="L264" i="1"/>
  <c r="L195" i="1"/>
  <c r="M254" i="1"/>
  <c r="M192" i="1" l="1"/>
  <c r="N192" i="1" s="1"/>
  <c r="L392" i="1"/>
  <c r="L304" i="1"/>
  <c r="L241" i="1"/>
  <c r="L39" i="1"/>
  <c r="J20" i="1"/>
  <c r="M42" i="1"/>
  <c r="N42" i="1" s="1"/>
  <c r="L384" i="1" l="1"/>
  <c r="M20" i="1" l="1"/>
  <c r="M199" i="1" l="1"/>
  <c r="L411" i="1"/>
  <c r="M361" i="1"/>
  <c r="M398" i="1"/>
  <c r="N398" i="1" s="1"/>
  <c r="L19" i="1"/>
  <c r="M19" i="1" s="1"/>
  <c r="N19" i="1" s="1"/>
  <c r="H19" i="1"/>
  <c r="L385" i="1" l="1"/>
  <c r="L157" i="1"/>
  <c r="M277" i="1" l="1"/>
  <c r="K39" i="1"/>
  <c r="I39" i="1"/>
  <c r="H39" i="1"/>
  <c r="H191" i="1"/>
  <c r="I191" i="1"/>
  <c r="K191" i="1"/>
  <c r="K190" i="1"/>
  <c r="I190" i="1"/>
  <c r="H190" i="1"/>
  <c r="I521" i="1" l="1"/>
  <c r="H521" i="1"/>
  <c r="M190" i="1"/>
  <c r="N190" i="1" s="1"/>
  <c r="M39" i="1"/>
  <c r="N39" i="1" s="1"/>
  <c r="M191" i="1"/>
  <c r="N191" i="1" s="1"/>
  <c r="M492" i="1"/>
  <c r="N492" i="1" s="1"/>
  <c r="M491" i="1"/>
  <c r="N491" i="1" s="1"/>
  <c r="M490" i="1"/>
  <c r="N490" i="1" s="1"/>
  <c r="M488" i="1"/>
  <c r="N488" i="1" s="1"/>
  <c r="M487" i="1"/>
  <c r="N487" i="1" s="1"/>
  <c r="M486" i="1"/>
  <c r="N486" i="1" s="1"/>
  <c r="M485" i="1"/>
  <c r="N485" i="1" s="1"/>
  <c r="M484" i="1"/>
  <c r="N484" i="1" s="1"/>
  <c r="M483" i="1"/>
  <c r="N483" i="1" s="1"/>
  <c r="M482" i="1"/>
  <c r="N482" i="1" s="1"/>
  <c r="M481" i="1"/>
  <c r="N481" i="1" s="1"/>
  <c r="M480" i="1"/>
  <c r="N480" i="1" s="1"/>
  <c r="M479" i="1"/>
  <c r="N479" i="1" s="1"/>
  <c r="M478" i="1"/>
  <c r="N478" i="1" s="1"/>
  <c r="M477" i="1"/>
  <c r="N477" i="1" s="1"/>
  <c r="M476" i="1"/>
  <c r="N476" i="1" s="1"/>
  <c r="M475" i="1"/>
  <c r="N475" i="1" s="1"/>
  <c r="M474" i="1"/>
  <c r="N474" i="1" s="1"/>
  <c r="M473" i="1"/>
  <c r="N473" i="1" s="1"/>
  <c r="M472" i="1"/>
  <c r="N472" i="1" s="1"/>
  <c r="M471" i="1"/>
  <c r="N471" i="1" s="1"/>
  <c r="M470" i="1"/>
  <c r="N470" i="1" s="1"/>
  <c r="M469" i="1"/>
  <c r="N469" i="1" s="1"/>
  <c r="M468" i="1"/>
  <c r="N468" i="1" s="1"/>
  <c r="M467" i="1"/>
  <c r="N467" i="1" s="1"/>
  <c r="M466" i="1"/>
  <c r="N466" i="1" s="1"/>
  <c r="M465" i="1"/>
  <c r="N465" i="1" s="1"/>
  <c r="M464" i="1"/>
  <c r="N464" i="1" s="1"/>
  <c r="M463" i="1"/>
  <c r="N463" i="1" s="1"/>
  <c r="M462" i="1"/>
  <c r="N462" i="1" s="1"/>
  <c r="M461" i="1"/>
  <c r="N461" i="1" s="1"/>
  <c r="M460" i="1"/>
  <c r="N460" i="1" s="1"/>
  <c r="M459" i="1"/>
  <c r="N459" i="1" s="1"/>
  <c r="M458" i="1"/>
  <c r="N458" i="1" s="1"/>
  <c r="M457" i="1"/>
  <c r="N457" i="1" s="1"/>
  <c r="M456" i="1"/>
  <c r="N456" i="1" s="1"/>
  <c r="M455" i="1"/>
  <c r="N455" i="1" s="1"/>
  <c r="M454" i="1"/>
  <c r="N454" i="1" s="1"/>
  <c r="M453" i="1"/>
  <c r="N453" i="1" s="1"/>
  <c r="M452" i="1"/>
  <c r="N452" i="1" s="1"/>
  <c r="M451" i="1"/>
  <c r="N451" i="1" s="1"/>
  <c r="M450" i="1"/>
  <c r="N450" i="1" s="1"/>
  <c r="M449" i="1"/>
  <c r="N449" i="1" s="1"/>
  <c r="M448" i="1"/>
  <c r="N448" i="1" s="1"/>
  <c r="M447" i="1"/>
  <c r="N447" i="1" s="1"/>
  <c r="M446" i="1"/>
  <c r="N446" i="1" s="1"/>
  <c r="M445" i="1"/>
  <c r="N445" i="1" s="1"/>
  <c r="M444" i="1"/>
  <c r="N444" i="1" s="1"/>
  <c r="M443" i="1"/>
  <c r="N443" i="1" s="1"/>
  <c r="M442" i="1"/>
  <c r="N442" i="1" s="1"/>
  <c r="M441" i="1"/>
  <c r="N441" i="1" s="1"/>
  <c r="M440" i="1"/>
  <c r="N440" i="1" s="1"/>
  <c r="M439" i="1"/>
  <c r="N439" i="1" s="1"/>
  <c r="M438" i="1"/>
  <c r="N438" i="1" s="1"/>
  <c r="M437" i="1"/>
  <c r="N437" i="1" s="1"/>
  <c r="M436" i="1"/>
  <c r="N436" i="1" s="1"/>
  <c r="M435" i="1"/>
  <c r="N435" i="1" s="1"/>
  <c r="M434" i="1"/>
  <c r="N434" i="1" s="1"/>
  <c r="M433" i="1"/>
  <c r="N433" i="1" s="1"/>
  <c r="M432" i="1"/>
  <c r="N432" i="1" s="1"/>
  <c r="M431" i="1"/>
  <c r="N431" i="1" s="1"/>
  <c r="M430" i="1"/>
  <c r="N430" i="1" s="1"/>
  <c r="M429" i="1"/>
  <c r="N429" i="1" s="1"/>
  <c r="M428" i="1"/>
  <c r="N428" i="1" s="1"/>
  <c r="M427" i="1"/>
  <c r="N427" i="1" s="1"/>
  <c r="M426" i="1"/>
  <c r="N426" i="1" s="1"/>
  <c r="M425" i="1"/>
  <c r="N425" i="1" s="1"/>
  <c r="M424" i="1"/>
  <c r="N424" i="1" s="1"/>
  <c r="N423" i="1"/>
  <c r="M422" i="1"/>
  <c r="N422" i="1" s="1"/>
  <c r="M421" i="1"/>
  <c r="N421" i="1" s="1"/>
  <c r="M420" i="1"/>
  <c r="N420" i="1" s="1"/>
  <c r="M419" i="1"/>
  <c r="N419" i="1" s="1"/>
  <c r="M418" i="1"/>
  <c r="N418" i="1" s="1"/>
  <c r="M417" i="1"/>
  <c r="N417" i="1" s="1"/>
  <c r="M416" i="1"/>
  <c r="N416" i="1" s="1"/>
  <c r="M415" i="1"/>
  <c r="N415" i="1" s="1"/>
  <c r="M414" i="1"/>
  <c r="N414" i="1" s="1"/>
  <c r="M413" i="1"/>
  <c r="N413" i="1" s="1"/>
  <c r="M412" i="1"/>
  <c r="N412" i="1" s="1"/>
  <c r="M411" i="1"/>
  <c r="N411" i="1" s="1"/>
  <c r="M410" i="1"/>
  <c r="N410" i="1" s="1"/>
  <c r="M409" i="1"/>
  <c r="N409" i="1" s="1"/>
  <c r="M408" i="1"/>
  <c r="N408" i="1" s="1"/>
  <c r="M407" i="1"/>
  <c r="N407" i="1" s="1"/>
  <c r="M406" i="1"/>
  <c r="N406" i="1" s="1"/>
  <c r="M405" i="1"/>
  <c r="N405" i="1" s="1"/>
  <c r="M404" i="1"/>
  <c r="N404" i="1" s="1"/>
  <c r="M403" i="1"/>
  <c r="N403" i="1" s="1"/>
  <c r="M402" i="1"/>
  <c r="N402" i="1" s="1"/>
  <c r="M401" i="1"/>
  <c r="N401" i="1" s="1"/>
  <c r="M399" i="1"/>
  <c r="N399" i="1" s="1"/>
  <c r="M397" i="1"/>
  <c r="N397" i="1" s="1"/>
  <c r="M396" i="1"/>
  <c r="N396" i="1" s="1"/>
  <c r="M395" i="1"/>
  <c r="N395" i="1" s="1"/>
  <c r="M394" i="1"/>
  <c r="N394" i="1" s="1"/>
  <c r="M393" i="1"/>
  <c r="N393" i="1" s="1"/>
  <c r="M392" i="1"/>
  <c r="N392" i="1" s="1"/>
  <c r="M391" i="1"/>
  <c r="N391" i="1" s="1"/>
  <c r="M390" i="1"/>
  <c r="N390" i="1" s="1"/>
  <c r="M389" i="1"/>
  <c r="N389" i="1" s="1"/>
  <c r="M388" i="1"/>
  <c r="N388" i="1" s="1"/>
  <c r="M387" i="1"/>
  <c r="N387" i="1" s="1"/>
  <c r="M386" i="1"/>
  <c r="N386" i="1" s="1"/>
  <c r="M385" i="1"/>
  <c r="N385" i="1" s="1"/>
  <c r="M384" i="1"/>
  <c r="N384" i="1" s="1"/>
  <c r="M383" i="1"/>
  <c r="N383" i="1" s="1"/>
  <c r="M382" i="1"/>
  <c r="N382" i="1" s="1"/>
  <c r="M381" i="1"/>
  <c r="N381" i="1" s="1"/>
  <c r="M380" i="1"/>
  <c r="N380" i="1" s="1"/>
  <c r="M379" i="1"/>
  <c r="N379" i="1" s="1"/>
  <c r="M378" i="1"/>
  <c r="N378" i="1" s="1"/>
  <c r="N377" i="1"/>
  <c r="M376" i="1"/>
  <c r="N376" i="1" s="1"/>
  <c r="M375" i="1"/>
  <c r="N375" i="1" s="1"/>
  <c r="M374" i="1"/>
  <c r="N374" i="1" s="1"/>
  <c r="M373" i="1"/>
  <c r="N373" i="1" s="1"/>
  <c r="M372" i="1"/>
  <c r="N372" i="1" s="1"/>
  <c r="M371" i="1"/>
  <c r="N371" i="1" s="1"/>
  <c r="M370" i="1"/>
  <c r="N370" i="1" s="1"/>
  <c r="M368" i="1"/>
  <c r="N368" i="1" s="1"/>
  <c r="M367" i="1"/>
  <c r="N367" i="1" s="1"/>
  <c r="M366" i="1"/>
  <c r="N366" i="1" s="1"/>
  <c r="M365" i="1"/>
  <c r="N365" i="1" s="1"/>
  <c r="M364" i="1"/>
  <c r="N364" i="1" s="1"/>
  <c r="M363" i="1"/>
  <c r="N363" i="1" s="1"/>
  <c r="M362" i="1"/>
  <c r="N362" i="1" s="1"/>
  <c r="N361" i="1"/>
  <c r="M360" i="1"/>
  <c r="N360" i="1" s="1"/>
  <c r="M359" i="1"/>
  <c r="N359" i="1" s="1"/>
  <c r="M358" i="1"/>
  <c r="N358" i="1" s="1"/>
  <c r="M357" i="1"/>
  <c r="N357" i="1" s="1"/>
  <c r="M356" i="1"/>
  <c r="N356" i="1" s="1"/>
  <c r="M354" i="1"/>
  <c r="N354" i="1" s="1"/>
  <c r="M353" i="1"/>
  <c r="N353" i="1" s="1"/>
  <c r="M352" i="1"/>
  <c r="N352" i="1" s="1"/>
  <c r="M351" i="1"/>
  <c r="N351" i="1" s="1"/>
  <c r="M350" i="1"/>
  <c r="N350" i="1" s="1"/>
  <c r="M349" i="1"/>
  <c r="N349" i="1" s="1"/>
  <c r="M348" i="1"/>
  <c r="N348" i="1" s="1"/>
  <c r="M347" i="1"/>
  <c r="N347" i="1" s="1"/>
  <c r="M346" i="1"/>
  <c r="N346" i="1" s="1"/>
  <c r="M345" i="1"/>
  <c r="N345" i="1" s="1"/>
  <c r="M344" i="1"/>
  <c r="N344" i="1" s="1"/>
  <c r="M343" i="1"/>
  <c r="N343" i="1" s="1"/>
  <c r="M342" i="1"/>
  <c r="N342" i="1" s="1"/>
  <c r="N341" i="1"/>
  <c r="M339" i="1"/>
  <c r="N339" i="1" s="1"/>
  <c r="M338" i="1"/>
  <c r="N338" i="1" s="1"/>
  <c r="N337" i="1"/>
  <c r="M336" i="1"/>
  <c r="N336" i="1" s="1"/>
  <c r="M335" i="1"/>
  <c r="N335" i="1" s="1"/>
  <c r="M334" i="1"/>
  <c r="N334" i="1" s="1"/>
  <c r="M333" i="1"/>
  <c r="N333" i="1" s="1"/>
  <c r="M332" i="1"/>
  <c r="N332" i="1" s="1"/>
  <c r="M331" i="1"/>
  <c r="N331" i="1" s="1"/>
  <c r="M330" i="1"/>
  <c r="N330" i="1" s="1"/>
  <c r="M329" i="1"/>
  <c r="N329" i="1" s="1"/>
  <c r="M328" i="1"/>
  <c r="N328" i="1" s="1"/>
  <c r="M327" i="1"/>
  <c r="N327" i="1" s="1"/>
  <c r="M326" i="1"/>
  <c r="N326" i="1" s="1"/>
  <c r="M325" i="1"/>
  <c r="N325" i="1" s="1"/>
  <c r="M324" i="1"/>
  <c r="N324" i="1" s="1"/>
  <c r="M323" i="1"/>
  <c r="N323" i="1" s="1"/>
  <c r="M322" i="1"/>
  <c r="N322" i="1" s="1"/>
  <c r="M321" i="1"/>
  <c r="N321" i="1" s="1"/>
  <c r="M320" i="1"/>
  <c r="N320" i="1" s="1"/>
  <c r="M319" i="1"/>
  <c r="N319" i="1" s="1"/>
  <c r="M318" i="1"/>
  <c r="N318" i="1" s="1"/>
  <c r="M317" i="1"/>
  <c r="N317" i="1" s="1"/>
  <c r="M316" i="1"/>
  <c r="N316" i="1" s="1"/>
  <c r="M315" i="1"/>
  <c r="N315" i="1" s="1"/>
  <c r="M314" i="1"/>
  <c r="N314" i="1" s="1"/>
  <c r="M313" i="1"/>
  <c r="N313" i="1" s="1"/>
  <c r="M312" i="1"/>
  <c r="N312" i="1" s="1"/>
  <c r="M311" i="1"/>
  <c r="N311" i="1" s="1"/>
  <c r="M310" i="1"/>
  <c r="N310" i="1" s="1"/>
  <c r="M309" i="1"/>
  <c r="N309" i="1" s="1"/>
  <c r="M308" i="1"/>
  <c r="N308" i="1" s="1"/>
  <c r="M307" i="1"/>
  <c r="N307" i="1" s="1"/>
  <c r="M306" i="1"/>
  <c r="N306" i="1" s="1"/>
  <c r="M305" i="1"/>
  <c r="N305" i="1" s="1"/>
  <c r="M304" i="1"/>
  <c r="N304" i="1" s="1"/>
  <c r="M303" i="1"/>
  <c r="N303" i="1" s="1"/>
  <c r="M302" i="1"/>
  <c r="N302" i="1" s="1"/>
  <c r="M301" i="1"/>
  <c r="N301" i="1" s="1"/>
  <c r="M300" i="1"/>
  <c r="N300" i="1" s="1"/>
  <c r="M299" i="1"/>
  <c r="N299" i="1" s="1"/>
  <c r="M298" i="1"/>
  <c r="N298" i="1" s="1"/>
  <c r="M297" i="1"/>
  <c r="N297" i="1" s="1"/>
  <c r="M296" i="1"/>
  <c r="N296" i="1" s="1"/>
  <c r="M295" i="1"/>
  <c r="N295" i="1" s="1"/>
  <c r="M294" i="1"/>
  <c r="N294" i="1" s="1"/>
  <c r="M291" i="1"/>
  <c r="N291" i="1" s="1"/>
  <c r="M290" i="1"/>
  <c r="N290" i="1" s="1"/>
  <c r="M289" i="1"/>
  <c r="N289" i="1" s="1"/>
  <c r="M288" i="1"/>
  <c r="N288" i="1" s="1"/>
  <c r="M287" i="1"/>
  <c r="N287" i="1" s="1"/>
  <c r="M286" i="1"/>
  <c r="N286" i="1" s="1"/>
  <c r="M285" i="1"/>
  <c r="N285" i="1" s="1"/>
  <c r="M284" i="1"/>
  <c r="N284" i="1" s="1"/>
  <c r="M283" i="1"/>
  <c r="N283" i="1" s="1"/>
  <c r="M282" i="1"/>
  <c r="N282" i="1" s="1"/>
  <c r="M281" i="1"/>
  <c r="N281" i="1" s="1"/>
  <c r="M280" i="1"/>
  <c r="N280" i="1" s="1"/>
  <c r="M279" i="1"/>
  <c r="N279" i="1" s="1"/>
  <c r="M278" i="1"/>
  <c r="N278" i="1" s="1"/>
  <c r="N277" i="1"/>
  <c r="M276" i="1"/>
  <c r="N276" i="1" s="1"/>
  <c r="M275" i="1"/>
  <c r="N275" i="1" s="1"/>
  <c r="M274" i="1"/>
  <c r="N274" i="1" s="1"/>
  <c r="M273" i="1"/>
  <c r="N273" i="1" s="1"/>
  <c r="M272" i="1"/>
  <c r="N272" i="1" s="1"/>
  <c r="M271" i="1"/>
  <c r="N271" i="1" s="1"/>
  <c r="M270" i="1"/>
  <c r="N270" i="1" s="1"/>
  <c r="M269" i="1"/>
  <c r="N269" i="1" s="1"/>
  <c r="M267" i="1"/>
  <c r="N267" i="1" s="1"/>
  <c r="M266" i="1"/>
  <c r="N266" i="1" s="1"/>
  <c r="M265" i="1"/>
  <c r="N265" i="1" s="1"/>
  <c r="M264" i="1"/>
  <c r="N264" i="1" s="1"/>
  <c r="M262" i="1"/>
  <c r="N262" i="1" s="1"/>
  <c r="M261" i="1"/>
  <c r="N261" i="1" s="1"/>
  <c r="M260" i="1"/>
  <c r="N260" i="1" s="1"/>
  <c r="M259" i="1"/>
  <c r="N259" i="1" s="1"/>
  <c r="M258" i="1"/>
  <c r="N258" i="1" s="1"/>
  <c r="M256" i="1"/>
  <c r="N256" i="1" s="1"/>
  <c r="M255" i="1"/>
  <c r="N255" i="1" s="1"/>
  <c r="N254" i="1"/>
  <c r="M253" i="1"/>
  <c r="N253" i="1" s="1"/>
  <c r="M251" i="1"/>
  <c r="N251" i="1" s="1"/>
  <c r="N250" i="1"/>
  <c r="M249" i="1"/>
  <c r="N249" i="1" s="1"/>
  <c r="M248" i="1"/>
  <c r="N248" i="1" s="1"/>
  <c r="M247" i="1"/>
  <c r="N247" i="1" s="1"/>
  <c r="M246" i="1"/>
  <c r="N246" i="1" s="1"/>
  <c r="M245" i="1"/>
  <c r="N245" i="1" s="1"/>
  <c r="M243" i="1"/>
  <c r="N243" i="1" s="1"/>
  <c r="M242" i="1"/>
  <c r="N242" i="1" s="1"/>
  <c r="M241" i="1"/>
  <c r="N241" i="1" s="1"/>
  <c r="M240" i="1"/>
  <c r="N240" i="1" s="1"/>
  <c r="M239" i="1"/>
  <c r="N239" i="1" s="1"/>
  <c r="M237" i="1"/>
  <c r="N237" i="1" s="1"/>
  <c r="M235" i="1"/>
  <c r="N235" i="1" s="1"/>
  <c r="M234" i="1"/>
  <c r="N234" i="1" s="1"/>
  <c r="M233" i="1"/>
  <c r="N233" i="1" s="1"/>
  <c r="M232" i="1"/>
  <c r="N232" i="1" s="1"/>
  <c r="M231" i="1"/>
  <c r="N231" i="1" s="1"/>
  <c r="M230" i="1"/>
  <c r="N230" i="1" s="1"/>
  <c r="M229" i="1"/>
  <c r="N229" i="1" s="1"/>
  <c r="M228" i="1"/>
  <c r="N228" i="1" s="1"/>
  <c r="M227" i="1"/>
  <c r="N227" i="1" s="1"/>
  <c r="M226" i="1"/>
  <c r="N226" i="1" s="1"/>
  <c r="M225" i="1"/>
  <c r="N225" i="1" s="1"/>
  <c r="M224" i="1"/>
  <c r="N224" i="1" s="1"/>
  <c r="M223" i="1"/>
  <c r="N223" i="1" s="1"/>
  <c r="M222" i="1"/>
  <c r="N222" i="1" s="1"/>
  <c r="M221" i="1"/>
  <c r="N221" i="1" s="1"/>
  <c r="M220" i="1"/>
  <c r="N220" i="1" s="1"/>
  <c r="M219" i="1"/>
  <c r="N219" i="1" s="1"/>
  <c r="M218" i="1"/>
  <c r="N218" i="1" s="1"/>
  <c r="M217" i="1"/>
  <c r="N217" i="1" s="1"/>
  <c r="M216" i="1"/>
  <c r="N216" i="1" s="1"/>
  <c r="M215" i="1"/>
  <c r="N215" i="1" s="1"/>
  <c r="M213" i="1"/>
  <c r="N213" i="1" s="1"/>
  <c r="M212" i="1"/>
  <c r="N212" i="1" s="1"/>
  <c r="M211" i="1"/>
  <c r="N211" i="1" s="1"/>
  <c r="M210" i="1"/>
  <c r="N210" i="1" s="1"/>
  <c r="M207" i="1"/>
  <c r="N207" i="1" s="1"/>
  <c r="M206" i="1"/>
  <c r="N206" i="1" s="1"/>
  <c r="M205" i="1"/>
  <c r="N205" i="1" s="1"/>
  <c r="M204" i="1"/>
  <c r="N204" i="1" s="1"/>
  <c r="M203" i="1"/>
  <c r="N203" i="1" s="1"/>
  <c r="N202" i="1"/>
  <c r="M201" i="1"/>
  <c r="N201" i="1" s="1"/>
  <c r="M200" i="1"/>
  <c r="N200" i="1" s="1"/>
  <c r="N199" i="1"/>
  <c r="M197" i="1"/>
  <c r="N197" i="1" s="1"/>
  <c r="M195" i="1"/>
  <c r="N195" i="1" s="1"/>
  <c r="M194" i="1"/>
  <c r="N194" i="1" s="1"/>
  <c r="M193" i="1"/>
  <c r="N193" i="1" s="1"/>
  <c r="M189" i="1"/>
  <c r="N189" i="1" s="1"/>
  <c r="M188" i="1"/>
  <c r="N188" i="1" s="1"/>
  <c r="M187" i="1"/>
  <c r="N187" i="1" s="1"/>
  <c r="M186" i="1"/>
  <c r="N186" i="1" s="1"/>
  <c r="M185" i="1"/>
  <c r="N185" i="1" s="1"/>
  <c r="M184" i="1"/>
  <c r="N184" i="1" s="1"/>
  <c r="M183" i="1"/>
  <c r="N183" i="1" s="1"/>
  <c r="M182" i="1"/>
  <c r="N182" i="1" s="1"/>
  <c r="M181" i="1"/>
  <c r="N181" i="1" s="1"/>
  <c r="M180" i="1"/>
  <c r="N180" i="1" s="1"/>
  <c r="M179" i="1"/>
  <c r="N179" i="1" s="1"/>
  <c r="M178" i="1"/>
  <c r="N178" i="1" s="1"/>
  <c r="M177" i="1"/>
  <c r="N177" i="1" s="1"/>
  <c r="M176" i="1"/>
  <c r="N176" i="1" s="1"/>
  <c r="M175" i="1"/>
  <c r="N175" i="1" s="1"/>
  <c r="M174" i="1"/>
  <c r="N174" i="1" s="1"/>
  <c r="M173" i="1"/>
  <c r="N173" i="1" s="1"/>
  <c r="M172" i="1"/>
  <c r="N172" i="1" s="1"/>
  <c r="M171" i="1"/>
  <c r="N171" i="1" s="1"/>
  <c r="M170" i="1"/>
  <c r="N170" i="1" s="1"/>
  <c r="M169" i="1"/>
  <c r="N169" i="1" s="1"/>
  <c r="M168" i="1"/>
  <c r="N168" i="1" s="1"/>
  <c r="M167" i="1"/>
  <c r="N167" i="1" s="1"/>
  <c r="M166" i="1"/>
  <c r="N166" i="1" s="1"/>
  <c r="M165" i="1"/>
  <c r="N165" i="1" s="1"/>
  <c r="M164" i="1"/>
  <c r="N164" i="1" s="1"/>
  <c r="M163" i="1"/>
  <c r="N163" i="1" s="1"/>
  <c r="M162" i="1"/>
  <c r="N162" i="1" s="1"/>
  <c r="M161" i="1"/>
  <c r="N161" i="1" s="1"/>
  <c r="M160" i="1"/>
  <c r="N160" i="1" s="1"/>
  <c r="M159" i="1"/>
  <c r="N159" i="1" s="1"/>
  <c r="M158" i="1"/>
  <c r="N158" i="1" s="1"/>
  <c r="M157" i="1"/>
  <c r="N157" i="1" s="1"/>
  <c r="M156" i="1"/>
  <c r="N156" i="1" s="1"/>
  <c r="M155" i="1"/>
  <c r="N155" i="1" s="1"/>
  <c r="M154" i="1"/>
  <c r="N154" i="1" s="1"/>
  <c r="M153" i="1"/>
  <c r="N153" i="1" s="1"/>
  <c r="M152" i="1"/>
  <c r="N152" i="1" s="1"/>
  <c r="M151" i="1"/>
  <c r="N151" i="1" s="1"/>
  <c r="M150" i="1"/>
  <c r="N150" i="1" s="1"/>
  <c r="M149" i="1"/>
  <c r="N149" i="1" s="1"/>
  <c r="M148" i="1"/>
  <c r="N148" i="1" s="1"/>
  <c r="M147" i="1"/>
  <c r="N147" i="1" s="1"/>
  <c r="M146" i="1"/>
  <c r="N146" i="1" s="1"/>
  <c r="M144" i="1"/>
  <c r="N144" i="1" s="1"/>
  <c r="M143" i="1"/>
  <c r="N143" i="1" s="1"/>
  <c r="M142" i="1"/>
  <c r="N142" i="1" s="1"/>
  <c r="M141" i="1"/>
  <c r="N141" i="1" s="1"/>
  <c r="M140" i="1"/>
  <c r="N140" i="1" s="1"/>
  <c r="N139" i="1"/>
  <c r="M138" i="1"/>
  <c r="N138" i="1" s="1"/>
  <c r="M137" i="1"/>
  <c r="N137" i="1" s="1"/>
  <c r="M136" i="1"/>
  <c r="N136" i="1" s="1"/>
  <c r="M135" i="1"/>
  <c r="N135" i="1" s="1"/>
  <c r="N134" i="1"/>
  <c r="M133" i="1"/>
  <c r="N133" i="1" s="1"/>
  <c r="M132" i="1"/>
  <c r="N132" i="1" s="1"/>
  <c r="M130" i="1"/>
  <c r="N130" i="1" s="1"/>
  <c r="M129" i="1"/>
  <c r="N129" i="1" s="1"/>
  <c r="M128" i="1"/>
  <c r="N128" i="1" s="1"/>
  <c r="M127" i="1"/>
  <c r="N127" i="1" s="1"/>
  <c r="M126" i="1"/>
  <c r="N126" i="1" s="1"/>
  <c r="M125" i="1"/>
  <c r="N125" i="1" s="1"/>
  <c r="M124" i="1"/>
  <c r="N124" i="1" s="1"/>
  <c r="M123" i="1"/>
  <c r="N123" i="1" s="1"/>
  <c r="M122" i="1"/>
  <c r="N122" i="1" s="1"/>
  <c r="M121" i="1"/>
  <c r="N121" i="1" s="1"/>
  <c r="M120" i="1"/>
  <c r="N120" i="1" s="1"/>
  <c r="M119" i="1"/>
  <c r="N119" i="1" s="1"/>
  <c r="M118" i="1"/>
  <c r="N118" i="1" s="1"/>
  <c r="M117" i="1"/>
  <c r="N117" i="1" s="1"/>
  <c r="M116" i="1"/>
  <c r="N116" i="1" s="1"/>
  <c r="M115" i="1"/>
  <c r="N115" i="1" s="1"/>
  <c r="M114" i="1"/>
  <c r="N114" i="1" s="1"/>
  <c r="M113" i="1"/>
  <c r="N113" i="1" s="1"/>
  <c r="M112" i="1"/>
  <c r="N112" i="1" s="1"/>
  <c r="M111" i="1"/>
  <c r="N111" i="1" s="1"/>
  <c r="M109" i="1"/>
  <c r="N109" i="1" s="1"/>
  <c r="M108" i="1"/>
  <c r="N108" i="1" s="1"/>
  <c r="M107" i="1"/>
  <c r="N107" i="1" s="1"/>
  <c r="M106" i="1"/>
  <c r="N106" i="1" s="1"/>
  <c r="M105" i="1"/>
  <c r="N105" i="1" s="1"/>
  <c r="M104" i="1"/>
  <c r="N104" i="1" s="1"/>
  <c r="M103" i="1"/>
  <c r="N103" i="1" s="1"/>
  <c r="M102" i="1"/>
  <c r="N102" i="1" s="1"/>
  <c r="M101" i="1"/>
  <c r="N101" i="1" s="1"/>
  <c r="M100" i="1"/>
  <c r="N100" i="1" s="1"/>
  <c r="M99" i="1"/>
  <c r="N99" i="1" s="1"/>
  <c r="M97" i="1"/>
  <c r="N97" i="1" s="1"/>
  <c r="M96" i="1"/>
  <c r="N96" i="1" s="1"/>
  <c r="M95" i="1"/>
  <c r="N95" i="1" s="1"/>
  <c r="M94" i="1"/>
  <c r="N94" i="1" s="1"/>
  <c r="M92" i="1"/>
  <c r="N92" i="1" s="1"/>
  <c r="M91" i="1"/>
  <c r="N91" i="1" s="1"/>
  <c r="M90" i="1"/>
  <c r="N90" i="1" s="1"/>
  <c r="M89" i="1"/>
  <c r="N89" i="1" s="1"/>
  <c r="M88" i="1"/>
  <c r="N88" i="1" s="1"/>
  <c r="M87" i="1"/>
  <c r="N87" i="1" s="1"/>
  <c r="M86" i="1"/>
  <c r="N86" i="1" s="1"/>
  <c r="M85" i="1"/>
  <c r="N85" i="1" s="1"/>
  <c r="M84" i="1"/>
  <c r="N84" i="1" s="1"/>
  <c r="M83" i="1"/>
  <c r="N83" i="1" s="1"/>
  <c r="M82" i="1"/>
  <c r="N82" i="1" s="1"/>
  <c r="M81" i="1"/>
  <c r="N81" i="1" s="1"/>
  <c r="M80" i="1"/>
  <c r="N80" i="1" s="1"/>
  <c r="M79" i="1"/>
  <c r="N79" i="1" s="1"/>
  <c r="M78" i="1"/>
  <c r="N78" i="1" s="1"/>
  <c r="M77" i="1"/>
  <c r="N77" i="1" s="1"/>
  <c r="M76" i="1"/>
  <c r="N76" i="1" s="1"/>
  <c r="M75" i="1"/>
  <c r="N75" i="1" s="1"/>
  <c r="M74" i="1"/>
  <c r="N74" i="1" s="1"/>
  <c r="M73" i="1"/>
  <c r="N73" i="1" s="1"/>
  <c r="M72" i="1"/>
  <c r="N72" i="1" s="1"/>
  <c r="M71" i="1"/>
  <c r="N71" i="1" s="1"/>
  <c r="M70" i="1"/>
  <c r="N70" i="1" s="1"/>
  <c r="M69" i="1"/>
  <c r="N69" i="1" s="1"/>
  <c r="M68" i="1"/>
  <c r="N68" i="1" s="1"/>
  <c r="M67" i="1"/>
  <c r="N67" i="1" s="1"/>
  <c r="M66" i="1"/>
  <c r="N66" i="1" s="1"/>
  <c r="M65" i="1"/>
  <c r="N65" i="1" s="1"/>
  <c r="M64" i="1"/>
  <c r="N64" i="1" s="1"/>
  <c r="M63" i="1"/>
  <c r="N63" i="1" s="1"/>
  <c r="M62" i="1"/>
  <c r="N62" i="1" s="1"/>
  <c r="M61" i="1"/>
  <c r="N61" i="1" s="1"/>
  <c r="M60" i="1"/>
  <c r="N60" i="1" s="1"/>
  <c r="M59" i="1"/>
  <c r="N59" i="1" s="1"/>
  <c r="M57" i="1"/>
  <c r="N57" i="1" s="1"/>
  <c r="M56" i="1"/>
  <c r="N56" i="1" s="1"/>
  <c r="M55" i="1"/>
  <c r="N55" i="1" s="1"/>
  <c r="M54" i="1"/>
  <c r="N54" i="1" s="1"/>
  <c r="M53" i="1"/>
  <c r="N53" i="1" s="1"/>
  <c r="M52" i="1"/>
  <c r="N52" i="1" s="1"/>
  <c r="M48" i="1"/>
  <c r="N48" i="1" s="1"/>
  <c r="M47" i="1"/>
  <c r="N47" i="1" s="1"/>
  <c r="N46" i="1"/>
  <c r="M45" i="1"/>
  <c r="N45" i="1" s="1"/>
  <c r="M44" i="1"/>
  <c r="N44" i="1" s="1"/>
  <c r="M38" i="1"/>
  <c r="N38" i="1" s="1"/>
  <c r="M37" i="1"/>
  <c r="N37" i="1" s="1"/>
  <c r="M36" i="1"/>
  <c r="N36" i="1" s="1"/>
  <c r="M35" i="1"/>
  <c r="N35" i="1" s="1"/>
  <c r="M34" i="1"/>
  <c r="N34" i="1" s="1"/>
  <c r="M33" i="1"/>
  <c r="N33" i="1" s="1"/>
  <c r="M32" i="1"/>
  <c r="N32" i="1" s="1"/>
  <c r="M31" i="1"/>
  <c r="N31" i="1" s="1"/>
  <c r="M30" i="1"/>
  <c r="N30" i="1" s="1"/>
  <c r="M29" i="1"/>
  <c r="N29" i="1" s="1"/>
  <c r="M26" i="1"/>
  <c r="N26" i="1" s="1"/>
  <c r="M25" i="1"/>
  <c r="N25" i="1" s="1"/>
  <c r="M24" i="1"/>
  <c r="N24" i="1" s="1"/>
  <c r="M21" i="1"/>
  <c r="N21" i="1" s="1"/>
  <c r="N20" i="1"/>
  <c r="M18" i="1"/>
  <c r="N18" i="1" s="1"/>
  <c r="N16" i="1"/>
  <c r="M15" i="1"/>
  <c r="N15" i="1" s="1"/>
  <c r="M13" i="1"/>
  <c r="N13" i="1" s="1"/>
  <c r="M12" i="1"/>
  <c r="N12" i="1" s="1"/>
  <c r="M11" i="1"/>
  <c r="N11" i="1" s="1"/>
  <c r="M10" i="1"/>
  <c r="N10" i="1" s="1"/>
  <c r="M9" i="1"/>
  <c r="N9" i="1" s="1"/>
  <c r="M8" i="1"/>
  <c r="N8" i="1" s="1"/>
  <c r="M7" i="1"/>
  <c r="N7" i="1" s="1"/>
  <c r="N6" i="1"/>
  <c r="M5" i="1"/>
  <c r="N5" i="1" s="1"/>
</calcChain>
</file>

<file path=xl/connections.xml><?xml version="1.0" encoding="utf-8"?>
<connections xmlns="http://schemas.openxmlformats.org/spreadsheetml/2006/main">
  <connection id="1" name="Transparencia fijos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Transparencia fijos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<sst xmlns="http://schemas.openxmlformats.org/spreadsheetml/2006/main" count="5227" uniqueCount="637">
  <si>
    <t>INSTITUTO DOMINICANO DE INVESTIGACIÓNES AGROPECUARIAS Y FORESTALES - IDIAF</t>
  </si>
  <si>
    <t>DPTO.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</si>
  <si>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</si>
  <si>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</si>
  <si>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</si>
  <si>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</si>
  <si>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</si>
  <si>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</si>
  <si>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</si>
  <si>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</si>
  <si>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</si>
  <si>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</si>
  <si>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</si>
  <si>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</si>
  <si>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</si>
  <si>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ELADIO ARNAUD SANTANA</t>
  </si>
  <si>
    <t>DIRECCIÓN EJECUTIVA</t>
  </si>
  <si>
    <t>LIBRE NOMBRAMIENTO</t>
  </si>
  <si>
    <t>DIRECTOR EJECUTIVO</t>
  </si>
  <si>
    <t>M</t>
  </si>
  <si>
    <t>MARISABEL ALFONSINA GARCIA VARGAS</t>
  </si>
  <si>
    <t>CARRERA ADMINISTRATIVA</t>
  </si>
  <si>
    <t>ENC. DE LA OFICINA DE AC</t>
  </si>
  <si>
    <t>F</t>
  </si>
  <si>
    <t>SAWDY YAMEL ORTIZ JIMENEZ</t>
  </si>
  <si>
    <t>ESTATUTO SIMPLIFICADO</t>
  </si>
  <si>
    <t>AUXILIAR OFICINA ACCESO INFOR</t>
  </si>
  <si>
    <t>MARIA MAGDALENA DIAZ GARCIA</t>
  </si>
  <si>
    <t>SECRETARIA</t>
  </si>
  <si>
    <t>JANINA ALTAGRACIA SEGURA PANIAGUA</t>
  </si>
  <si>
    <t>CARGO DE CONFIANZA</t>
  </si>
  <si>
    <t>ASESOR</t>
  </si>
  <si>
    <t>GONZALO MORALES</t>
  </si>
  <si>
    <t>JOSE ANIBAL DE JESUS RIJO</t>
  </si>
  <si>
    <t>ASISTENTE</t>
  </si>
  <si>
    <t>JUAN OVIDIO CORONADO NUÑEZ</t>
  </si>
  <si>
    <t>DIVISIÓN DE TECNOLOGÍA DE LA INF.</t>
  </si>
  <si>
    <t>ENC. DIVISIÓN TECNOLOGIA</t>
  </si>
  <si>
    <t>FAUSTINO ANTONIO SOSA LEDESMA</t>
  </si>
  <si>
    <t>ENC. DPTO. DE RECURSOS HUMANOS</t>
  </si>
  <si>
    <t>YSABEL EVARISTA PEÑA CRUZ</t>
  </si>
  <si>
    <t>MONIKA MARITZA MEDINA ROSARIO</t>
  </si>
  <si>
    <t>ANALISTA DE RECURSOS HUMANOS</t>
  </si>
  <si>
    <t>OSCARINA SANTANA PEREZ</t>
  </si>
  <si>
    <t>ELVIRA AQUINO MERCEDES</t>
  </si>
  <si>
    <t>AUXILIAR ADMINISTRATIVO</t>
  </si>
  <si>
    <t>EDUARDO FULCAR MONTERO</t>
  </si>
  <si>
    <t>DPTO. DE PLANIFICACIÓN Y DES.</t>
  </si>
  <si>
    <t>DISEﾑADOR GRAFICO</t>
  </si>
  <si>
    <t>JUAN REYES FROMETA</t>
  </si>
  <si>
    <t>ENC. DPTO. PLANIF</t>
  </si>
  <si>
    <t>MARILEIDYS JIMENEZ TURBI</t>
  </si>
  <si>
    <t>FABIO FRANCISCO FRIAS BAEZ</t>
  </si>
  <si>
    <t>DPTO. DE COOP. E INTERCAMBIO</t>
  </si>
  <si>
    <t>ENC. DPTO. DE COO</t>
  </si>
  <si>
    <t>RAFAEL OLMEDO VASQUEZ PERDOMO</t>
  </si>
  <si>
    <t>DPTO. DE DIFUSION</t>
  </si>
  <si>
    <t>PERIODISTA</t>
  </si>
  <si>
    <t>ISMAEL RAMON REYES PEÑA</t>
  </si>
  <si>
    <t>DIRECCIÓN ADM. Y FINANCIERA</t>
  </si>
  <si>
    <t>SUPERVISOR MAYORDOMIA</t>
  </si>
  <si>
    <t>ANA ISABEL MORETA LEDESMA</t>
  </si>
  <si>
    <t>CONSERJE</t>
  </si>
  <si>
    <t>ARCENIO CARRERA</t>
  </si>
  <si>
    <t>ROBINSON DE LA ROSA SANCHEZ</t>
  </si>
  <si>
    <t>HECTOR NOVAS</t>
  </si>
  <si>
    <t>CHOFER</t>
  </si>
  <si>
    <t>MARILENNY MENDEZ DE LOS SANTOS</t>
  </si>
  <si>
    <t>YANDRA CRISTAL DE LA ROSA RODRIGUEZ</t>
  </si>
  <si>
    <t>RECEPCIONISTA</t>
  </si>
  <si>
    <t>DENIA PANIAGUA PEﾑA</t>
  </si>
  <si>
    <t>JOSE BAUTISTA AGUASANTA</t>
  </si>
  <si>
    <t>SUPERVISOR MANTENIMIENTO</t>
  </si>
  <si>
    <t>NOELIA CUEVAS AMADOR</t>
  </si>
  <si>
    <t>GABRIELA KOVERCA MARTINEZ RODRIGUEZ</t>
  </si>
  <si>
    <t>AUXILIAR ADMINISTRATIVO I</t>
  </si>
  <si>
    <t>CRISELIS SANCHEZ CORDERO</t>
  </si>
  <si>
    <t>HECTOR DANIEL JIMENEZ DE LA ROSA</t>
  </si>
  <si>
    <t>DIVISIÓN DE COMPRAS Y CONTRAT.</t>
  </si>
  <si>
    <t>FLAVIA ALTAGRACIA PEREZ GUTIERREZ</t>
  </si>
  <si>
    <t>DIVISIÓN DE PRESUPUESTO</t>
  </si>
  <si>
    <t>ENC. DIVISIÓN PRESUPUEST</t>
  </si>
  <si>
    <t>JESUS MANUEL RODRIGUEZ ALCANTARA</t>
  </si>
  <si>
    <t>DPTO. CONTABILIDAD</t>
  </si>
  <si>
    <t>CONTADOR</t>
  </si>
  <si>
    <t>AUXILIAR DE CONTABILIDAD</t>
  </si>
  <si>
    <t>MARIA CRISTINA MONTERO VARGAS</t>
  </si>
  <si>
    <t>DAVID DE JESUS URRACA SANCHEZ</t>
  </si>
  <si>
    <t>DIVISIÓN DE TECNOLOGIA DE LA INF.</t>
  </si>
  <si>
    <t>SOPORTE INFORMATICO</t>
  </si>
  <si>
    <t>KERVIN ARIDE RAMIREZ FELIZ</t>
  </si>
  <si>
    <t>RONIE MARTIN MORALES PEIGNAND</t>
  </si>
  <si>
    <t>ANA FRANCISCA GARCIA ALBERTO</t>
  </si>
  <si>
    <t>SELVA MARIA FRIAS POLANCO</t>
  </si>
  <si>
    <t>MARIA CASILDA FRAGOSO VALENZUELA</t>
  </si>
  <si>
    <t>ENC. ADMINISTRATIVO</t>
  </si>
  <si>
    <t>SANTOS JIMENEZ UREﾑA</t>
  </si>
  <si>
    <t>ALTAGRACIA VARGAS VARGAS</t>
  </si>
  <si>
    <t>FLOR DE LOS REYES CALDERON BAEZ</t>
  </si>
  <si>
    <t>ANA ARGELIA TAVERAS FERREIRAS</t>
  </si>
  <si>
    <t>GRISELDA CELESTE HEREDIA</t>
  </si>
  <si>
    <t>MELIDA PEREZ DURAN</t>
  </si>
  <si>
    <t>YUDERKA GALVA ECHAVARRIA</t>
  </si>
  <si>
    <t>ANA RAMONA RODRIGUEZ MORROBEL</t>
  </si>
  <si>
    <t>ATANACIA DE LA ROSA</t>
  </si>
  <si>
    <t>ALVARO MATOS ESPINOSA</t>
  </si>
  <si>
    <t>VIGILANTE</t>
  </si>
  <si>
    <t>CARMEN MOQUETE MONTILLA</t>
  </si>
  <si>
    <t>DIOSITO DE OLEO ALCANTARA</t>
  </si>
  <si>
    <t>FANNY YANELIS RAMIREZ BAEZ</t>
  </si>
  <si>
    <t>FELICIANO VALDEZ SANTOS</t>
  </si>
  <si>
    <t>GREGORIO MARTE</t>
  </si>
  <si>
    <t>FERMIN PEÑA</t>
  </si>
  <si>
    <t>JOSE ANTONIO MIESES</t>
  </si>
  <si>
    <t>JUAN ANTONIO REYNOSO</t>
  </si>
  <si>
    <t>LEOHINDA FLORINDA ROJAS</t>
  </si>
  <si>
    <t>ANSELMO NATIVIDAD NUÑEZ</t>
  </si>
  <si>
    <t>LUIS FRANCIS VILLAR ARIAS</t>
  </si>
  <si>
    <t>YUBELKYS ANTONIO GARCIA HERRERA</t>
  </si>
  <si>
    <t>DOMINGO JAVIER MARTE BEATO</t>
  </si>
  <si>
    <t>MANUEL ARIAS GONZALEZ</t>
  </si>
  <si>
    <t>JOSE RAMON DE LA MOTA</t>
  </si>
  <si>
    <t>ENC. DE CENTRO REGIONAL</t>
  </si>
  <si>
    <t>LANTIGUA CABRERA</t>
  </si>
  <si>
    <t>NICOLASA CASSO LINARES</t>
  </si>
  <si>
    <t>CAROL MAYERLIN RAMIREZ ALCANTARA</t>
  </si>
  <si>
    <t>SECRETARIA II</t>
  </si>
  <si>
    <t>RAMON SURIEL</t>
  </si>
  <si>
    <t>ISABEL MOJICA</t>
  </si>
  <si>
    <t>CESAR ARIAS</t>
  </si>
  <si>
    <t>GREIBY SALVADOR MEDINA MEDINA</t>
  </si>
  <si>
    <t>FEDILIA ANTONIA NUÑEZ RAMOS</t>
  </si>
  <si>
    <t>ALFONZO DICEN Y VALDEZ</t>
  </si>
  <si>
    <t>JOSE VIDAL MATOS</t>
  </si>
  <si>
    <t>DAMARIS AMARANTE ALBERTY</t>
  </si>
  <si>
    <t>JUAN ELIGIO CAPOIS BOCK</t>
  </si>
  <si>
    <t>JUAN TOMAS PORTORREAL MENA</t>
  </si>
  <si>
    <t>FELIX GARCIA MELENDEZ</t>
  </si>
  <si>
    <t>MANUEL EMILIO PEREZ</t>
  </si>
  <si>
    <t>DELFINA DEL CARMEN GIL INFANTE</t>
  </si>
  <si>
    <t>SECRETARIA EJECUTIVA</t>
  </si>
  <si>
    <t>MARIO MONEGRO ALMONTE</t>
  </si>
  <si>
    <t>WINSTON ROSARIO AMEZQUITA</t>
  </si>
  <si>
    <t>MALENNI ELCY CORTORREAL BAEZ</t>
  </si>
  <si>
    <t>RICARDO DE JESUS</t>
  </si>
  <si>
    <t>JOSE MARIANO GONZALEZ</t>
  </si>
  <si>
    <t>MECANICO</t>
  </si>
  <si>
    <t>EDUARDO TIBURCIO CASTILLO</t>
  </si>
  <si>
    <t>ARIANNY LORENNY TEJEDA RAMIREZ</t>
  </si>
  <si>
    <t>BALDEMIRO ANACLETO TAVERAS OSORIA</t>
  </si>
  <si>
    <t>CHOFER I</t>
  </si>
  <si>
    <t>LUIS EMILIO ROA</t>
  </si>
  <si>
    <t>ALEJANDRO CABRAL SUERO</t>
  </si>
  <si>
    <t>AGUSTINA ROSARIO PEÑA</t>
  </si>
  <si>
    <t>FAUSTO BIENVENIDO MEDINA ORTIZ</t>
  </si>
  <si>
    <t>KATTY REYES TAPIA</t>
  </si>
  <si>
    <t>CELIO ABREU</t>
  </si>
  <si>
    <t>ERCILIA SISNERO</t>
  </si>
  <si>
    <t>CANDIDA DEL ORBE REYNOSO</t>
  </si>
  <si>
    <t>SILVIO ANTONIO GUTIERREZ BELLIARD</t>
  </si>
  <si>
    <t>VICTOR PERALTA JAQUEZ</t>
  </si>
  <si>
    <t>FIOR D・LIZA ALTAGRACIA GUTIERREZ C</t>
  </si>
  <si>
    <t>ALVARO LUIS GIL MARTINEZ</t>
  </si>
  <si>
    <t>FRANCISCA SURIEL MEJIA</t>
  </si>
  <si>
    <t>ARLIN JOSE MERCEDES GUZMAN</t>
  </si>
  <si>
    <t>JOSEFA BARETT JHONSON</t>
  </si>
  <si>
    <t>BEATO POLANCO</t>
  </si>
  <si>
    <t>DARIO SALAZAR SALAZAR</t>
  </si>
  <si>
    <t>EDILIO ANTONIO CRUZ</t>
  </si>
  <si>
    <t>FABIO LEONEL SALAZAR TAVAREZ</t>
  </si>
  <si>
    <t>LOURDES PAULINO NUÑEZ</t>
  </si>
  <si>
    <t>FRANCISCO LEONARDO HENRIQUEZ</t>
  </si>
  <si>
    <t>FRANCISCO MARTE COLLADO</t>
  </si>
  <si>
    <t>LUIS ARISMENDY HERNANDEZ BALDERA</t>
  </si>
  <si>
    <t>DARIO ANTONIO DEL ORBE</t>
  </si>
  <si>
    <t>FELIPE MARMOL</t>
  </si>
  <si>
    <t>NELSON ENMANUEL MARTINEZ BRITO</t>
  </si>
  <si>
    <t>LUCIA SUSANA ACOSTA</t>
  </si>
  <si>
    <t>FRANKLIN REYES</t>
  </si>
  <si>
    <t>MARTINA ALMANZAR HENRIQUEZ</t>
  </si>
  <si>
    <t>MARIA JOSEFINA ROSARIO VALDEZ</t>
  </si>
  <si>
    <t>PAULINO FABIAN</t>
  </si>
  <si>
    <t>PEDRO LUIS BALBUENA TINEO</t>
  </si>
  <si>
    <t>RAMON RODRIGUEZ</t>
  </si>
  <si>
    <t>RAMON TAVERAS GARCIA</t>
  </si>
  <si>
    <t>SUBERKIS URE･A PANIAGUA</t>
  </si>
  <si>
    <t>TOMAS MARIA VARGAS JIMENEZ</t>
  </si>
  <si>
    <t>MILAGRO DEL CARMEN TORRES VALERIO</t>
  </si>
  <si>
    <t>LENNY PAYANO</t>
  </si>
  <si>
    <t>RAMONA LAGARES</t>
  </si>
  <si>
    <t>GUSTAVO MELLA MARTE</t>
  </si>
  <si>
    <t>ROSSI MARIA RAMIREZ GARCIA</t>
  </si>
  <si>
    <t>FANELKY TORRES PICHARDO</t>
  </si>
  <si>
    <t>HENRY MARTINEZ RAMIREZ</t>
  </si>
  <si>
    <t>MONICA DEL CARMEN PEÑA CABRAL DE SA</t>
  </si>
  <si>
    <t>JOSEFINA ALTAGRACIA VELASQUEZ CRUZ</t>
  </si>
  <si>
    <t>CARLA TORRES PICHARDO</t>
  </si>
  <si>
    <t>MARTIRES ANGOMAS MATEO</t>
  </si>
  <si>
    <t>ELSON ENRIQUE MATOS</t>
  </si>
  <si>
    <t>PERLA MASSIEL ENCARNACION</t>
  </si>
  <si>
    <t>EDGAR MATEO PEﾑA</t>
  </si>
  <si>
    <t>MENSAJERO</t>
  </si>
  <si>
    <t>YASMIN ARIANNA MERAN VICIOSO</t>
  </si>
  <si>
    <t>GICELA RAMOS CALDERON</t>
  </si>
  <si>
    <t>SOPORTE ADMINISTRATIVO</t>
  </si>
  <si>
    <t>ROBERSSON DE LEON DE LA ROSA</t>
  </si>
  <si>
    <t>EUFEMIO GARCIA FERNANDEZ</t>
  </si>
  <si>
    <t>FELIX ANTONIO SUAREZ GUERRERO</t>
  </si>
  <si>
    <t>YERALDIS FERNANDEZ LEDESMA</t>
  </si>
  <si>
    <t>NICOLE MEJIA MACEO</t>
  </si>
  <si>
    <t>CHACHITO ARIAS</t>
  </si>
  <si>
    <t>ELSA YAQUELIN ARIAS SUAZO</t>
  </si>
  <si>
    <t>VICTOR MANUEL PIﾑA</t>
  </si>
  <si>
    <t>CARMEN ARDELY FLORENTINO HERNANDEZ</t>
  </si>
  <si>
    <t>ALTAGRACIA CLARIBEL CASTILLO FRANCO</t>
  </si>
  <si>
    <t>YARIBEL MENDEZ DE LEON</t>
  </si>
  <si>
    <t>PERLA GEORGINA NOVA</t>
  </si>
  <si>
    <t>ELY SAUL HERNANDEZ CASTILLO</t>
  </si>
  <si>
    <t>WILSON RAFAEL RODRIGUEZ DE LOS SANT</t>
  </si>
  <si>
    <t>JOSE ALTAGRACIA MEJIA BAEZ</t>
  </si>
  <si>
    <t>JARDINERO</t>
  </si>
  <si>
    <t>MATILDE ORTEGA MIRABAL</t>
  </si>
  <si>
    <t>RAFY MONEGRO</t>
  </si>
  <si>
    <t>RAFAEL ANTONIO SANCHEZ FELIZ</t>
  </si>
  <si>
    <t>RAHINY PEREZ RODRIGUEZ</t>
  </si>
  <si>
    <t>KEILA VALDEZ</t>
  </si>
  <si>
    <t>RUBIS ENCARNACION ENCARNACION</t>
  </si>
  <si>
    <t>MARIA LUISA SANCHEZ RAMIREZ</t>
  </si>
  <si>
    <t>ROSELYS HERNANDEZ BIDO</t>
  </si>
  <si>
    <t>HECTOR ELPIDIO ARIAS BAUTISTA</t>
  </si>
  <si>
    <t>MARTIN MONTERO AGRAMONTE</t>
  </si>
  <si>
    <t>PLOMERO</t>
  </si>
  <si>
    <t>EDUARDO VALDEZ CABRAL</t>
  </si>
  <si>
    <t>RAMON ANTONIO TEJEDA REYES</t>
  </si>
  <si>
    <t>YAILIN MERCEDES LANTIGUA</t>
  </si>
  <si>
    <t>RAFAEL BELLOANDINO ALCANTARA BELTRE</t>
  </si>
  <si>
    <t>FELIX ALBERTO PEREZ</t>
  </si>
  <si>
    <t>DORSTON GERALDO</t>
  </si>
  <si>
    <t>KATTY ESTELA LORENZO CAPELLAN</t>
  </si>
  <si>
    <t>MARIA DEL PILAR ALEVANTE CAPELLAN</t>
  </si>
  <si>
    <t>OLIVO CHALAS LUGO</t>
  </si>
  <si>
    <t>FREDINA YANELIS TEJEDA TRONCOSO</t>
  </si>
  <si>
    <t>CARLOS MANUEL ABREU NUﾑEZ</t>
  </si>
  <si>
    <t>ALBANIA DE JESUS DIAZ PEÑA</t>
  </si>
  <si>
    <t>ALFREDO RAFAEL MELO BRITO</t>
  </si>
  <si>
    <t>DPTO. DE CONTABILIDAD</t>
  </si>
  <si>
    <t>DAMARIS DEL CARMEN ARIAS VALERIO</t>
  </si>
  <si>
    <t>MARITZA LUCIANO TERRERO</t>
  </si>
  <si>
    <t>MARI MILAGROS PEÑA</t>
  </si>
  <si>
    <t>SANTA CESPEDES FIGUEREO</t>
  </si>
  <si>
    <t>JOENNI RAFAELINA TEJADA DIAZ</t>
  </si>
  <si>
    <t>MARY CRUZ DURAN GARCIA</t>
  </si>
  <si>
    <t>DIRECCIÓN DE INVESTIGACIÓN</t>
  </si>
  <si>
    <t>INVESTIGADOR ASISTENTE</t>
  </si>
  <si>
    <t>IRIS ESTHER MARCANO GONZALEZ</t>
  </si>
  <si>
    <t>ORLANDO DIAZ CORDERO</t>
  </si>
  <si>
    <t>INVESTIGADOR EN FORMACIÓN</t>
  </si>
  <si>
    <t>GENARO ANTONIO REYNOSO CASTILLO</t>
  </si>
  <si>
    <t>INVESTIGADOR TITULAR</t>
  </si>
  <si>
    <t>DEISY MARIA HERNANDEZ GARCIA</t>
  </si>
  <si>
    <t>BERNARDO FRANCISCO MATEO SUERO</t>
  </si>
  <si>
    <t>ANGEL RADHAMES PIMENTEL PUJOLS</t>
  </si>
  <si>
    <t>INVESTIGADOR ASOCIADO</t>
  </si>
  <si>
    <t>JOSE RICHARD ORTIZ NUÑEZ</t>
  </si>
  <si>
    <t>ORLANDO FELIX ESPIRITU</t>
  </si>
  <si>
    <t>EWDDY NERY PEREZ CARRERA</t>
  </si>
  <si>
    <t>VICTOR MANUEL LANDA PEREZ</t>
  </si>
  <si>
    <t>MARIANELA CONCE CONCE</t>
  </si>
  <si>
    <t>JOSE ESTEVAN TEJADA TORRES</t>
  </si>
  <si>
    <t>JOSE RAMON BOLIVAR MERCEDES UREÑA</t>
  </si>
  <si>
    <t>JOSE ALFREDO CHOQUE LOPEZ</t>
  </si>
  <si>
    <t>ARSENIO HEREDIA SEVERINO</t>
  </si>
  <si>
    <t>HENRY ALBERTO RICARDO MEDINA</t>
  </si>
  <si>
    <t>MABEL YANIRYS RODRIGUEZ POCHE</t>
  </si>
  <si>
    <t>CARMEN VARGAS VICTORIANO</t>
  </si>
  <si>
    <t>KIORIS AWILDA ALCANTARA HERNANDEZ</t>
  </si>
  <si>
    <t>AURA DEL CARMEN PAULINO DE LA ROSA</t>
  </si>
  <si>
    <t>BARBARA AGRAMONTE DE JESUS</t>
  </si>
  <si>
    <t>TÉCNICO AGROPECUARIO</t>
  </si>
  <si>
    <t>JORGE LUIS DEL VILLAR TIO</t>
  </si>
  <si>
    <t>ESPECIALISTA MULTIPLICACION I</t>
  </si>
  <si>
    <t>NELSIDA MARIA MARTINEZ MONEGRO</t>
  </si>
  <si>
    <t>DELIA YVELISSE NAVARRO</t>
  </si>
  <si>
    <t>MARCOS JAVIER ESPINO UREÑA</t>
  </si>
  <si>
    <t>DAMASO VIÑAS</t>
  </si>
  <si>
    <t>TÉCNICO</t>
  </si>
  <si>
    <t>PEDRO ANTONIO DOMINGUEZ ALVARADO</t>
  </si>
  <si>
    <t>TEOFILA REINOSO AQUINO</t>
  </si>
  <si>
    <t>CESAR AUGUSTO MARTINEZ MATEO</t>
  </si>
  <si>
    <t>XIOMARA ALTAGRACIA CAYETANO BELEN</t>
  </si>
  <si>
    <t>INVESTIGADOR DE APOYO</t>
  </si>
  <si>
    <t>ALCENIO SURIEL VIÑAS</t>
  </si>
  <si>
    <t>RAMON LOPEZ VIÑA</t>
  </si>
  <si>
    <t>ILVY GILBERTO MEJIA GUERRERO</t>
  </si>
  <si>
    <t>ANYELINA ESTIFANYS VILORIA DE LA CR</t>
  </si>
  <si>
    <t>RAMON HERNANDEZ NUÑEZ</t>
  </si>
  <si>
    <t>RAMON DE LOS SANTOS DE LA CRUZ ROSO</t>
  </si>
  <si>
    <t>MIGUEL ANGEL REYES CRUZ</t>
  </si>
  <si>
    <t>MILEIDA ALTAGRACIA FERREIRA</t>
  </si>
  <si>
    <t>GRACIELA ANTONIA GODOY MANANA</t>
  </si>
  <si>
    <t>LUIS ANTONIO MATOS CASADO</t>
  </si>
  <si>
    <t>SARDIS MEDRANO CABRAL</t>
  </si>
  <si>
    <t>JULIANA ARILEIDA NOVA PEÑA</t>
  </si>
  <si>
    <t>TOMAS ALFREDO MONTAS DIONISIO</t>
  </si>
  <si>
    <t>HERMINIA CATANO CATANO</t>
  </si>
  <si>
    <t>ANTONIO SALOMON SOSA NATTA</t>
  </si>
  <si>
    <t>VICTOR MANUEL MORILLO SANCHEZ</t>
  </si>
  <si>
    <t>MELVIN EMILIO MEJIA ALCANTARA</t>
  </si>
  <si>
    <t>DIOGENES CASTILLO BERROA</t>
  </si>
  <si>
    <t>JUAN MANUEL JIMENEZ RODRIGUEZ</t>
  </si>
  <si>
    <t>LAURA GLENYS POLANCO FLORIAN</t>
  </si>
  <si>
    <t>PEDRO JUAN SEBASTIAN DEL ROSARIO CU</t>
  </si>
  <si>
    <t>FREDDY SINENCIO CONTRERAS ESPINAL</t>
  </si>
  <si>
    <t>JOSE MIGUEL ROMERO DEL VALLE</t>
  </si>
  <si>
    <t>ELPIDIO AVILES QUEZADA</t>
  </si>
  <si>
    <t>SOCORRO ANA M DEL R GARCIA PANTALEO</t>
  </si>
  <si>
    <t>JEOVANI ABIGAIL MEDINA PEÑA</t>
  </si>
  <si>
    <t>DAMASO FLORES VENTURA</t>
  </si>
  <si>
    <t>FRANCISCO JIMENEZ ROSARIO</t>
  </si>
  <si>
    <t>LEOCADIA SANCHEZ MARTINEZ</t>
  </si>
  <si>
    <t>MARISOL VENTURA LOPEZ</t>
  </si>
  <si>
    <t>ALEJANDRO MARIA NUÑEZ</t>
  </si>
  <si>
    <t>HELEODORA CALDERON ROSADO</t>
  </si>
  <si>
    <t>DAVI RAFAEL MATEO BAUTISTA</t>
  </si>
  <si>
    <t>DAYSI MARGARITA MARTICH SOSA</t>
  </si>
  <si>
    <t>EDUARDO DE LEON</t>
  </si>
  <si>
    <t>ALEJANDRO PUJOLS MARTE</t>
  </si>
  <si>
    <t>LUCIA ALTAGRACIA SILVERIO ANTIGUA</t>
  </si>
  <si>
    <t>MARISOL MOREL REYES</t>
  </si>
  <si>
    <t>FRANCISCO CEBALLOS CORREA</t>
  </si>
  <si>
    <t>PABLO SUAREZ JIMENEZ</t>
  </si>
  <si>
    <t>JULIO CESAR MORROBEL DIAZ</t>
  </si>
  <si>
    <t>LUIS FRANCISCO MONTOLIO MORROBEL</t>
  </si>
  <si>
    <t>ANA DAMARIS AVILES QUEZADA</t>
  </si>
  <si>
    <t>CARLOS MANUEL ESCALANTE SUAREZ</t>
  </si>
  <si>
    <t>MANUEL ATILES DE JESUS PEGUERO MATE</t>
  </si>
  <si>
    <t>SIMON BOLIVAR ALCANTARA CORCINO</t>
  </si>
  <si>
    <t>BERNARDO VIÑA REYES</t>
  </si>
  <si>
    <t>JOSE FRANCISCO DE LA CRUZ CASTILLO</t>
  </si>
  <si>
    <t>JUAN RAMON CEDANO MATEO</t>
  </si>
  <si>
    <t>VICTOR JOSE ASENCIO CUELLO</t>
  </si>
  <si>
    <t>JOAQUIN CARIDAD DEL ROSARIO</t>
  </si>
  <si>
    <t>GLENNY LLINEE LOPEZ RODRIGUEZ</t>
  </si>
  <si>
    <t>JOSE LUIS GONZALEZ ESCOLASTICO</t>
  </si>
  <si>
    <t>PEDRO ANTONIO NUÑEZ RAMOS</t>
  </si>
  <si>
    <t>JUAN ANTONIO ARIAS MATEO</t>
  </si>
  <si>
    <t>REINA TERESA MARTINEZ MOTA</t>
  </si>
  <si>
    <t>JUAN TOMAS CAMEJO JIMENEZ</t>
  </si>
  <si>
    <t>JOSE MIGUEL GARCIA PEÑA</t>
  </si>
  <si>
    <t>FELIX MEJIA SUSANA</t>
  </si>
  <si>
    <t>HECTOR MILCIADES CUELLO</t>
  </si>
  <si>
    <t>ANA ELIZABETH MATEO ARNAUT</t>
  </si>
  <si>
    <t>COLMAR ANDREAS SERRA</t>
  </si>
  <si>
    <t>SEGUNDO NOVA ANGUSTIA</t>
  </si>
  <si>
    <t>MARIA DE JESUS GUADALUPE CUEVAS JOA</t>
  </si>
  <si>
    <t>DOMINGO RAMON CASTILLO</t>
  </si>
  <si>
    <t>CENTROS REGIONALES</t>
  </si>
  <si>
    <t>OBRERO ESPECIALIZADO</t>
  </si>
  <si>
    <t>JUAN DE MARTE ALBERTO VARGAS</t>
  </si>
  <si>
    <t>FRANCISCO ESTEBAN SANCHEZ DIAZ</t>
  </si>
  <si>
    <t>OBRERO</t>
  </si>
  <si>
    <t>SANTO ALBERTO RAMIREZ MOTA</t>
  </si>
  <si>
    <t>CAPATAZ</t>
  </si>
  <si>
    <t>SANTO MARIANO DIAZ ORTIZ</t>
  </si>
  <si>
    <t>ANDRES CARELA PEREZ</t>
  </si>
  <si>
    <t>RAMON LOPEZ PEÑA</t>
  </si>
  <si>
    <t>FABIAN MEJIA GALICIA</t>
  </si>
  <si>
    <t>MARCOS LINARES GARCIA</t>
  </si>
  <si>
    <t>PABLO BIDO POLANCO</t>
  </si>
  <si>
    <t>ARIEL DE LOS SANTOS</t>
  </si>
  <si>
    <t>WILLIAMS RADHAMES RODRIGUEZ GONZALE</t>
  </si>
  <si>
    <t>ANGEL DIONICIO CHALAS</t>
  </si>
  <si>
    <t>CESAR OVANDO SANCHEZ</t>
  </si>
  <si>
    <t>OPERADOR DE EQUIPOS PESADOS</t>
  </si>
  <si>
    <t>ALBA LUZ BATISTA MEDINA</t>
  </si>
  <si>
    <t>ENC. ESTACION EXPERIMENT</t>
  </si>
  <si>
    <t>JUAN ROSARIO</t>
  </si>
  <si>
    <t>JESUS ALVAREZ HERNANDEZ</t>
  </si>
  <si>
    <t>JOSELIN ALBERTO BAEZ RECIO</t>
  </si>
  <si>
    <t>MAXIMO FIGUEREO</t>
  </si>
  <si>
    <t>LUIS MARTIN BOURNIGAL GONZALEZ</t>
  </si>
  <si>
    <t>JOSE FRANCISCO REYES VARGAS</t>
  </si>
  <si>
    <t>FRANCISCO CONFESOR RODRIGUEZ RAMIRE</t>
  </si>
  <si>
    <t>DANIEL MENDEZ MEDINA</t>
  </si>
  <si>
    <t>GREGORIO GARCIA</t>
  </si>
  <si>
    <t>MANUEL AUGUSTO MARTINEZ MEJIA</t>
  </si>
  <si>
    <t>HANSEL BAEZ</t>
  </si>
  <si>
    <t>LUIS MIGUEL GIL BUENO</t>
  </si>
  <si>
    <t>JOSE MIGUEL DE LOS SANTOS MONTERO</t>
  </si>
  <si>
    <t>PASCUAL ARIAS LARA</t>
  </si>
  <si>
    <t>SANTO UCETA</t>
  </si>
  <si>
    <t>JULIO JOSE TEJADA</t>
  </si>
  <si>
    <t>LEONIDAS HERNAN PEÑA MARTINEZ</t>
  </si>
  <si>
    <t>RAMON ANTONIO EUSEBIO RODRIGUEZ</t>
  </si>
  <si>
    <t>JUAN UREÑA TINEO</t>
  </si>
  <si>
    <t>JUAN FRANCISCO SANCHEZ TRONCOSO</t>
  </si>
  <si>
    <t>FELIPE VINICIO MARTINEZ FRIAS</t>
  </si>
  <si>
    <t>ZOZIMO MONTILLA ORTIZ</t>
  </si>
  <si>
    <t>GREGORIO CASIMIRO</t>
  </si>
  <si>
    <t>EDUARDO CRUZ ANGEL</t>
  </si>
  <si>
    <t>ANTONIO PEREZ CORTORREAL</t>
  </si>
  <si>
    <t>JOSE FIGUEREO</t>
  </si>
  <si>
    <t>ALCIDES MONTILLA</t>
  </si>
  <si>
    <t>ENERIO DIAZ MORA</t>
  </si>
  <si>
    <t>RAMON ANTONIO QUINTIN ARIAS</t>
  </si>
  <si>
    <t>CRISTOBAL REYES DIPRE</t>
  </si>
  <si>
    <t>ROQUE BIENVENIDO BATHEL TEJEDA</t>
  </si>
  <si>
    <t>JOSE RAFAEL NUÑEZ VALLECERDA</t>
  </si>
  <si>
    <t>FRANCISCO MIGUEL ANGEL REYES VALENT</t>
  </si>
  <si>
    <t>AUXILIAR ESTACION EXPERIMENTA</t>
  </si>
  <si>
    <t>DOMINGO RAMIREZ</t>
  </si>
  <si>
    <t>SANTIAGO TEJADA TAVERAS</t>
  </si>
  <si>
    <t>MARTIRES VASQUEZ GONZALEZ</t>
  </si>
  <si>
    <t>BERNARDO SOSA SANTIAGO</t>
  </si>
  <si>
    <t>FERNANDO LOPEZ COLLADO</t>
  </si>
  <si>
    <t>JUAN BAUTISTA REYES BAEZ</t>
  </si>
  <si>
    <t>ANGEL BIENVENIDO VILLAR ARIAS</t>
  </si>
  <si>
    <t>ADOLFO MELENDEZ</t>
  </si>
  <si>
    <t>JOSE ALTAGRACIA MONTAS</t>
  </si>
  <si>
    <t>RAMON MARIA MEJIA LOPEZ</t>
  </si>
  <si>
    <t>AURELIO PAULINO SUAZO CASTILLO</t>
  </si>
  <si>
    <t>DANILO PEREZ GUERRERO</t>
  </si>
  <si>
    <t>BRAULIO LARA LARA</t>
  </si>
  <si>
    <t>MERCEDITO FLORENTINO</t>
  </si>
  <si>
    <t>JOSE RAFAEL RODRIGUEZ ALONZO</t>
  </si>
  <si>
    <t>MARIA ALODIA ESQUEA RODRIGUEZ</t>
  </si>
  <si>
    <t>FAUSTINO GARCIA VILORIO</t>
  </si>
  <si>
    <t>LUIS GERMAN ENCARNACION PEGUERO</t>
  </si>
  <si>
    <t>CARMEN DE JESUS GOMEZ CABRERA</t>
  </si>
  <si>
    <t>NELSON BIDO POLANCO</t>
  </si>
  <si>
    <t>ANGEL BAEZ FIGUEREO</t>
  </si>
  <si>
    <t>ARIDIO VALENZUELA</t>
  </si>
  <si>
    <t>JUAN ANTONIO DE OLEO PEÑA</t>
  </si>
  <si>
    <t>LEONEL ALCIBIADES DIAZ</t>
  </si>
  <si>
    <t>LUCA GUZMAN ASENCIO</t>
  </si>
  <si>
    <t>ANAZARIO SANTOS SANTOS</t>
  </si>
  <si>
    <t>FRANJAILY LEDESMA FLORENTINO</t>
  </si>
  <si>
    <t>TEODORO ANTONIO PEÑA ACOSTA</t>
  </si>
  <si>
    <t>RAMON DURAN GENAO</t>
  </si>
  <si>
    <t>TOMAS GARCIA AQUINO</t>
  </si>
  <si>
    <t>ADRIANO PEÑA LOPEZ</t>
  </si>
  <si>
    <t>JULIO ENCARNACION</t>
  </si>
  <si>
    <t>DAMIAN GUZMAN</t>
  </si>
  <si>
    <t>JOSE RAMON MORAN</t>
  </si>
  <si>
    <t>DAVID RODRIGUEZ PICHARDO</t>
  </si>
  <si>
    <t>FAUSTINO PINEDA</t>
  </si>
  <si>
    <t>CRISTINO SUAREZ ENCARNACION</t>
  </si>
  <si>
    <t>SHANEL RAFAEL LUNA MOTA</t>
  </si>
  <si>
    <t>LION ANTONIO ROSADO CONTRERAS</t>
  </si>
  <si>
    <t>CARLOS BAEZ MERCEDES</t>
  </si>
  <si>
    <t>JUAN OLAVERRIA MATEO</t>
  </si>
  <si>
    <t>ALEJANDRO MEDINA</t>
  </si>
  <si>
    <t>ANDRES REYES MONTERO</t>
  </si>
  <si>
    <t>CLAUDIO RODRIGUEZ MONSERRATE</t>
  </si>
  <si>
    <t>ARCADIO CORDERO</t>
  </si>
  <si>
    <t>ELIAS LEMOS ENCARNACION</t>
  </si>
  <si>
    <t>EUSEBIO MONTAÑO VALENTIN</t>
  </si>
  <si>
    <t>HECTOR ENRIQUE RUIZ BERNABEL</t>
  </si>
  <si>
    <t>FRANCISCO DE JESUS CASADO</t>
  </si>
  <si>
    <t>ANICASIO MERCEDES ROSARIO</t>
  </si>
  <si>
    <t>ARQUIMEDES LEONARDO ABREU MEJIA</t>
  </si>
  <si>
    <t>MANUEL ANTONIO PEGUERO PINALES</t>
  </si>
  <si>
    <t>JUAN ALBERTO PINALES ARIAS</t>
  </si>
  <si>
    <t>JUAN BAUTISTA PEÑA PEÑA</t>
  </si>
  <si>
    <t>ROLANDO ARTURO GUILLEN ANGELES</t>
  </si>
  <si>
    <t>WILLIAM PEREZ ABREU</t>
  </si>
  <si>
    <t>WILLY MARTINEZ</t>
  </si>
  <si>
    <t>CONSUELO DEL CARMEN VALERIO</t>
  </si>
  <si>
    <t>JUAN CARLOS TORRES GONZALEZ</t>
  </si>
  <si>
    <t>VICTORIANO ANTONIO ROJAS JIMENEZ</t>
  </si>
  <si>
    <t>AGUSTIN JIMENEZ</t>
  </si>
  <si>
    <t>ENC. ALMACEN</t>
  </si>
  <si>
    <t>SANTOS SANTOS</t>
  </si>
  <si>
    <t>SIMON BOLIVAR AMEQUITA DE LA ROSA</t>
  </si>
  <si>
    <t>ERICKSON JIMENEZ SANTIAGO</t>
  </si>
  <si>
    <t>EULOGIO LORA MARTINEZ</t>
  </si>
  <si>
    <t>FRANCISCO ALMANZAR TAVERAS</t>
  </si>
  <si>
    <t>JUAN ANTONIO DE LA CRUZ OLIVARES</t>
  </si>
  <si>
    <t>GREGORIO ACOSTA TAVERAS</t>
  </si>
  <si>
    <t>DANILO CONFESOR SANTIAGO</t>
  </si>
  <si>
    <t>JOSE ANTONIO AMEQUITA DE LA ROSA</t>
  </si>
  <si>
    <t>JOSE MIGUEL MONEGRO RAMIREZ</t>
  </si>
  <si>
    <t>JUSTO A. AQUINO SANTOS</t>
  </si>
  <si>
    <t>EUSEBIO BEATO</t>
  </si>
  <si>
    <t>NICOLAS OSORIA OSORIA</t>
  </si>
  <si>
    <t>REGINO SOSA LEONARDO</t>
  </si>
  <si>
    <t>RAFAEL ANTONIO SALCEDO BELLIARD</t>
  </si>
  <si>
    <t>ROBERTO MONCION</t>
  </si>
  <si>
    <t>MANUEL DEL JESUS HERASME DIAZ</t>
  </si>
  <si>
    <t>ENC. PRODUCCION ESTACION EXPE</t>
  </si>
  <si>
    <t>JULIAN OLIVO ROSARIO</t>
  </si>
  <si>
    <t>JUSTINIANO SANTIAGO CRUZ</t>
  </si>
  <si>
    <t>RAMON EMILIO MELLA MARTE</t>
  </si>
  <si>
    <t>REMBERTO AUGUSTO REYES MARTINEZ</t>
  </si>
  <si>
    <t>DIOGENES MARTINEZ RODRIGUEZ</t>
  </si>
  <si>
    <t>BOLIVAR OVANDO</t>
  </si>
  <si>
    <t>DOMINGO ANTONIO FRANCISCO</t>
  </si>
  <si>
    <t>HIPOLITO BAUTISTA RAMIREZ</t>
  </si>
  <si>
    <t>JOSE MANUEL ARIAS SOTO</t>
  </si>
  <si>
    <t>JESUS BONIFACIO BAEZ</t>
  </si>
  <si>
    <t>FAUSTINO JIMENEZ LOPEZ</t>
  </si>
  <si>
    <t>MELVIN VASQUEZ GONZALEZ</t>
  </si>
  <si>
    <t>JOSE ANTONIO CAPELLAN PAREDES</t>
  </si>
  <si>
    <t>JUAN FRANCISCO DEL ORBE HERNANDEZ</t>
  </si>
  <si>
    <t>JUAN MARIA POLANCO TAVERAS</t>
  </si>
  <si>
    <t>CLEMENTE LOPEZ FERRERAS</t>
  </si>
  <si>
    <t>EDWARD SUAREZ TEJEDA</t>
  </si>
  <si>
    <t>RAFAEL BIENVENIDO GUERRERO MELO</t>
  </si>
  <si>
    <t>HENRY DARIO MONEGRO GIL</t>
  </si>
  <si>
    <t>PABLO GUZMAN JIMENEZ</t>
  </si>
  <si>
    <t>FREDDYS MORILLO DIAZ</t>
  </si>
  <si>
    <t>LUIS MIGUEL VALDEZ ECHAVARRIA</t>
  </si>
  <si>
    <t>EUSEBIO NOVA HERNANDEZ</t>
  </si>
  <si>
    <t>NICAURY PEÑA ARIAS</t>
  </si>
  <si>
    <t>MISAEL CEPEDA TAVERAS</t>
  </si>
  <si>
    <t>FRANCISCO ALBERTO REYES TAPIA</t>
  </si>
  <si>
    <t>ROSA TINEO MEJIA</t>
  </si>
  <si>
    <t>ROBINSON GONZALEZ PERALTA</t>
  </si>
  <si>
    <t>YVELISSE MARTINEZ</t>
  </si>
  <si>
    <t>PEDRO JESUS AGUASANTA MATOS</t>
  </si>
  <si>
    <t>JULIO CESAR SANTANA CHALAS</t>
  </si>
  <si>
    <t>LORENZO ALBERTO MORBAN AYBAR</t>
  </si>
  <si>
    <t>LEONCIO BRUNO NUﾑEZ</t>
  </si>
  <si>
    <t>ANGEL MIGUEL ALCANTARA RAMIREZ</t>
  </si>
  <si>
    <t>SAUL REINOSO MESA</t>
  </si>
  <si>
    <t>NICANOR SENA</t>
  </si>
  <si>
    <t>ANTONIO VIDAL CUEVAS</t>
  </si>
  <si>
    <t>JOSE COMODORO CASTILLO CAMINERO</t>
  </si>
  <si>
    <t>SATURNINO GOMEZ GRULLON</t>
  </si>
  <si>
    <t>FRANCISCO MATEO CUEVAS</t>
  </si>
  <si>
    <t>YONORIS SALVADOR SANCHEZ</t>
  </si>
  <si>
    <t>SAUL RAMIREZ REYES</t>
  </si>
  <si>
    <t>ROBINSON MELLA MARTE</t>
  </si>
  <si>
    <t>JOSE AUGUSTO MARTE</t>
  </si>
  <si>
    <t>RAFAEL ANTONIO ESCANIO SEGURA</t>
  </si>
  <si>
    <t>REYES ANTONIO HERNANDEZ DEL ORBE</t>
  </si>
  <si>
    <t>ARELIS SANTANA MARTINEZ</t>
  </si>
  <si>
    <t>MARILY CASTILLO MATOS</t>
  </si>
  <si>
    <t>ISRAEL DE LOS SANTOS MORA</t>
  </si>
  <si>
    <t>JOELVY NOVA HICIANO</t>
  </si>
  <si>
    <t>ANGEL DE LOS SANTOS VILORIO</t>
  </si>
  <si>
    <t>RAFAEL ANTONIO FIGUEREO SEGURA</t>
  </si>
  <si>
    <t>RAFAEL DE LA CRUZ RAMIREZ</t>
  </si>
  <si>
    <t>JOSE ANTONIO DIAZ BOCIO</t>
  </si>
  <si>
    <t>BLAS OSCAR SANCHEZ TRONCOSO</t>
  </si>
  <si>
    <t>LUIS ALFREDO JEREZ</t>
  </si>
  <si>
    <t>RAMON ORTEGA CONCE</t>
  </si>
  <si>
    <t>VICTOR RAFAEL LOPEZ FERRERAS</t>
  </si>
  <si>
    <t>JUAN PABLO RODRIGUEZ RODRIGUEZ</t>
  </si>
  <si>
    <t>MIGUEL ANGEL DE JESUS TORRES TORRES</t>
  </si>
  <si>
    <t>ELISAUL GIL MONEGRO</t>
  </si>
  <si>
    <t>GORGELIN ENCARNACION</t>
  </si>
  <si>
    <t>FAUSTINO FELIZ CUEVAS</t>
  </si>
  <si>
    <t>URIBEL REYES DE LEON</t>
  </si>
  <si>
    <t>ROBINSON RAFAEL DEL ORBE GONZALEZ</t>
  </si>
  <si>
    <t>RICHARD SANTANA FERNANDEZ</t>
  </si>
  <si>
    <t>TEODORO MENDEZ</t>
  </si>
  <si>
    <t>WILSON RAFAEL RODRIGUEZ SARMIENTO</t>
  </si>
  <si>
    <t>DANTE VIBIANO PEÑA</t>
  </si>
  <si>
    <t>RANDY JOSE MONTILLA MESA</t>
  </si>
  <si>
    <t>DANIEL AGRAMONTE RAMIREZ</t>
  </si>
  <si>
    <t>WELLINGTON EDINSON GERONIMO</t>
  </si>
  <si>
    <t>MARIA PEÑA DE LA CRUZ</t>
  </si>
  <si>
    <t>JISSETTE ROSARIO PEÑA</t>
  </si>
  <si>
    <t>DPTO. DE DIFUSIÓN</t>
  </si>
  <si>
    <t>AUXILIAR DE DOCUMENTACION</t>
  </si>
  <si>
    <t>JHONNY ANDERSON RUIZ BRITO</t>
  </si>
  <si>
    <t>ANA DORIS GALVA GONZALEZ</t>
  </si>
  <si>
    <t>HECTOR LAZARO GUZMAN CRUZ</t>
  </si>
  <si>
    <t>SUPERVISOR DE EVENTOS</t>
  </si>
  <si>
    <t>WELINTON ANTONIO CUELLO MONEGRO</t>
  </si>
  <si>
    <t>LABORATORIOS</t>
  </si>
  <si>
    <t>AUXILIAR DE LABORATORIO</t>
  </si>
  <si>
    <t>ANA KILSIS SANCHEZ CABRERA</t>
  </si>
  <si>
    <t>ELSA SANCHEZ TINEO</t>
  </si>
  <si>
    <t>ALTAGRACIA UREÑA PAULINO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</si>
  <si>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</si>
  <si>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</si>
  <si>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</si>
  <si>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</si>
  <si>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Nómina </t>
  </si>
  <si>
    <t xml:space="preserve">Responsable Financiero </t>
  </si>
  <si>
    <t xml:space="preserve">Responsable de la Institución </t>
  </si>
  <si>
    <t>GERINELDO BELTRE</t>
  </si>
  <si>
    <t xml:space="preserve">ELAINE NOEMI VIZCAINO DE LEON </t>
  </si>
  <si>
    <t>AUX. ADMISTRATIVA</t>
  </si>
  <si>
    <t>ANGEL CANARIO RAMIREZ</t>
  </si>
  <si>
    <t>LUIS ALBERTO JIMENEZ GARCIA</t>
  </si>
  <si>
    <t>ARIALDY ELIEZER MONCION JIMENEZ</t>
  </si>
  <si>
    <t>MARIA COLOMBIA VARGAS DE LOS SANTOS</t>
  </si>
  <si>
    <t>TECNICO DE CONTABILIDAD</t>
  </si>
  <si>
    <t>SIMON GERONIMO DE LA ROSA</t>
  </si>
  <si>
    <t>Número</t>
  </si>
  <si>
    <t>CARLOS KASUKI HODAI CACAÑO</t>
  </si>
  <si>
    <t>CRISTINA ANTONIA GOMEZ MOYA</t>
  </si>
  <si>
    <t>DOMINGA VICENTE DE LOS SANTOS</t>
  </si>
  <si>
    <t>FAUSTO ANTONIO DE CASTRO RODRIGUEZ</t>
  </si>
  <si>
    <t>FABIO LORENZO CORPORAN</t>
  </si>
  <si>
    <t>RAFAEL ELCIDES CIPRIAN DIAZ</t>
  </si>
  <si>
    <t>DIRECCION ADM Y FIN</t>
  </si>
  <si>
    <t xml:space="preserve">ENC ADM </t>
  </si>
  <si>
    <t>LUIS BERTINIO LARA ARIAS</t>
  </si>
  <si>
    <t>FELIX JUAN ARIAS MATEO</t>
  </si>
  <si>
    <t>MARIA EUGENIA MENDEZ MENDEZ</t>
  </si>
  <si>
    <t>NATHALIA GEORGINA DIAZ DIAZ</t>
  </si>
  <si>
    <t>JHORIBEL BERREOA SANTANA</t>
  </si>
  <si>
    <t xml:space="preserve">OBRERO </t>
  </si>
  <si>
    <t>FREDDY DE LOS SANTOS</t>
  </si>
  <si>
    <t>VICTOR MANUEL JOSE FLORENTINO</t>
  </si>
  <si>
    <t>ASESOR JURIDICO</t>
  </si>
  <si>
    <t>HECTOR BIENVENIDO LORENZO BAUTISTA</t>
  </si>
  <si>
    <t>ALTAGRACIA MELODY AYALA PEGUERO</t>
  </si>
  <si>
    <t>DOMINGO HOLGUIN SANCHEZ</t>
  </si>
  <si>
    <t>MIGUEL ANGEL RODRIGUEZ MATOS</t>
  </si>
  <si>
    <t>JOSE LISTE DE LEON</t>
  </si>
  <si>
    <t>YAMILET PEREZ PEÑA</t>
  </si>
  <si>
    <t>WILSON FELIZ PERALTA</t>
  </si>
  <si>
    <t>LUIS ALBERTO PEREZ DE LEON</t>
  </si>
  <si>
    <t>EDDY PEÑA MONTERO</t>
  </si>
  <si>
    <t>JOHNNY PEÑA ANGOMAS</t>
  </si>
  <si>
    <t>WILQUIN ANDUJAR MORDAN</t>
  </si>
  <si>
    <t>BERKIS CAROLINA CAAMAÑO RAMIREZ DE GOMEZ</t>
  </si>
  <si>
    <t>OPERADOR SISTEMA DE RIEGO</t>
  </si>
  <si>
    <t>JOSE ALTAGRACIA MENDEZ FELIZ</t>
  </si>
  <si>
    <t>ALVARO MARTINEZ SAMBOY</t>
  </si>
  <si>
    <t>NÓMINA DE EMPLEADOS FIJOS CORRESPONDIENTE AL MES DE MAYO 2025</t>
  </si>
  <si>
    <t>NÓMINA DE EMPLEADOS FIJOS CORRESPONDIENTE AL MES DE JUNIO 2025</t>
  </si>
  <si>
    <t>YADERKY ANDREINA LIRIANO FAÑA</t>
  </si>
  <si>
    <t>ENC. ESTACION EXPERIMENTAL</t>
  </si>
  <si>
    <t>DISEÑADOR GRAFICO</t>
  </si>
  <si>
    <t>DENIA PANIAGUA PEÑA</t>
  </si>
  <si>
    <t>SANTOS JIMENEZ UREÑA</t>
  </si>
  <si>
    <t>EDGAR MATEO PEÑA</t>
  </si>
  <si>
    <t>FREDDY DE LOS SANTOS DE LA ROSA</t>
  </si>
  <si>
    <t>CARLOS KAZUKI HODAI CACAÑO</t>
  </si>
  <si>
    <t>FIOR DIALIZA ALTAGRACIA GUTIERREZ C</t>
  </si>
  <si>
    <t>SUBERKIS UREÑA PANIAGUA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</si>
</sst>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0"/>
      <color theme="1"/>
      <name val="Calibri"/>
      <family val="2"/>
      <scheme val="minor"/>
    </font>
    <font>
      <i/>
      <u val="singleAccounting"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top"/>
      <protection locked="0"/>
    </xf>
    <xf numFmtId="0" fontId="0" fillId="2" borderId="0" xfId="0" applyFill="1" applyProtection="1">
      <protection locked="0"/>
    </xf>
    <xf numFmtId="40" fontId="0" fillId="2" borderId="0" xfId="0" applyNumberFormat="1" applyFill="1" applyProtection="1">
      <protection locked="0"/>
    </xf>
    <xf numFmtId="40" fontId="0" fillId="2" borderId="0" xfId="1" applyNumberFormat="1" applyFont="1" applyFill="1" applyProtection="1">
      <protection locked="0"/>
    </xf>
    <xf numFmtId="40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40" fontId="0" fillId="0" borderId="0" xfId="1" applyNumberFormat="1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8" fillId="2" borderId="0" xfId="0" applyFont="1" applyFill="1"/>
    <xf numFmtId="0" fontId="8" fillId="2" borderId="0" xfId="0" applyFont="1" applyFill="1" applyAlignment="1">
      <alignment wrapText="1"/>
    </xf>
    <xf numFmtId="40" fontId="8" fillId="2" borderId="0" xfId="0" applyNumberFormat="1" applyFont="1" applyFill="1"/>
    <xf numFmtId="40" fontId="8" fillId="2" borderId="0" xfId="1" applyNumberFormat="1" applyFont="1" applyFill="1" applyProtection="1"/>
    <xf numFmtId="0" fontId="10" fillId="2" borderId="0" xfId="0" applyFont="1" applyFill="1" applyProtection="1">
      <protection locked="0"/>
    </xf>
    <xf numFmtId="0" fontId="11" fillId="2" borderId="0" xfId="0" applyFont="1" applyFill="1" applyProtection="1">
      <protection locked="0"/>
    </xf>
    <xf numFmtId="164" fontId="12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11" fillId="2" borderId="0" xfId="0" applyNumberFormat="1" applyFont="1" applyFill="1" applyProtection="1">
      <protection locked="0"/>
    </xf>
    <xf numFmtId="0" fontId="10" fillId="2" borderId="0" xfId="0" applyFont="1" applyFill="1"/>
    <xf numFmtId="0" fontId="10" fillId="2" borderId="0" xfId="0" applyFont="1" applyFill="1" applyAlignment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0" fontId="6" fillId="0" borderId="0" xfId="0" applyFont="1" applyAlignment="1" applyProtection="1">
      <alignment vertical="center"/>
      <protection locked="0"/>
    </xf>
    <xf numFmtId="40" fontId="8" fillId="0" borderId="0" xfId="1" applyNumberFormat="1" applyFont="1" applyFill="1" applyProtection="1"/>
    <xf numFmtId="40" fontId="10" fillId="0" borderId="0" xfId="1" applyNumberFormat="1" applyFont="1" applyFill="1" applyProtection="1">
      <protection locked="0"/>
    </xf>
    <xf numFmtId="40" fontId="10" fillId="0" borderId="0" xfId="0" applyNumberFormat="1" applyFont="1" applyAlignment="1">
      <alignment horizontal="center"/>
    </xf>
    <xf numFmtId="40" fontId="10" fillId="0" borderId="0" xfId="1" applyNumberFormat="1" applyFont="1" applyFill="1" applyAlignment="1" applyProtection="1">
      <alignment vertical="top"/>
    </xf>
    <xf numFmtId="40" fontId="10" fillId="0" borderId="0" xfId="0" applyNumberFormat="1" applyFont="1" applyAlignment="1">
      <alignment horizontal="center" vertical="top"/>
    </xf>
    <xf numFmtId="40" fontId="0" fillId="0" borderId="0" xfId="1" applyNumberFormat="1" applyFont="1" applyFill="1" applyProtection="1"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40" fontId="3" fillId="0" borderId="2" xfId="1" applyNumberFormat="1" applyFont="1" applyFill="1" applyBorder="1" applyAlignment="1" applyProtection="1">
      <alignment vertical="center"/>
      <protection locked="0"/>
    </xf>
    <xf numFmtId="40" fontId="3" fillId="0" borderId="2" xfId="1" applyNumberFormat="1" applyFont="1" applyFill="1" applyBorder="1" applyAlignment="1" applyProtection="1">
      <alignment vertical="center"/>
    </xf>
    <xf numFmtId="40" fontId="6" fillId="0" borderId="2" xfId="1" applyNumberFormat="1" applyFont="1" applyFill="1" applyBorder="1" applyAlignment="1" applyProtection="1">
      <alignment vertical="center"/>
      <protection locked="0"/>
    </xf>
    <xf numFmtId="40" fontId="6" fillId="0" borderId="2" xfId="1" applyNumberFormat="1" applyFont="1" applyFill="1" applyBorder="1" applyAlignment="1" applyProtection="1">
      <alignment vertical="center"/>
    </xf>
    <xf numFmtId="164" fontId="6" fillId="0" borderId="2" xfId="1" applyFont="1" applyFill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 wrapText="1"/>
      <protection locked="0"/>
    </xf>
    <xf numFmtId="40" fontId="2" fillId="0" borderId="2" xfId="1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9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0" fontId="13" fillId="0" borderId="3" xfId="0" applyNumberFormat="1" applyFont="1" applyBorder="1" applyAlignment="1">
      <alignment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vertical="center"/>
      <protection locked="0"/>
    </xf>
    <xf numFmtId="0" fontId="6" fillId="5" borderId="2" xfId="0" applyFont="1" applyFill="1" applyBorder="1" applyAlignment="1" applyProtection="1">
      <alignment vertical="center" wrapText="1"/>
      <protection locked="0"/>
    </xf>
    <xf numFmtId="40" fontId="6" fillId="5" borderId="2" xfId="1" applyNumberFormat="1" applyFont="1" applyFill="1" applyBorder="1" applyAlignment="1" applyProtection="1">
      <alignment vertical="center"/>
      <protection locked="0"/>
    </xf>
    <xf numFmtId="40" fontId="6" fillId="5" borderId="2" xfId="1" applyNumberFormat="1" applyFont="1" applyFill="1" applyBorder="1" applyAlignment="1" applyProtection="1">
      <alignment vertical="center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vertical="center"/>
      <protection locked="0"/>
    </xf>
    <xf numFmtId="0" fontId="3" fillId="5" borderId="2" xfId="0" applyFont="1" applyFill="1" applyBorder="1" applyAlignment="1" applyProtection="1">
      <alignment vertical="center" wrapText="1"/>
      <protection locked="0"/>
    </xf>
    <xf numFmtId="40" fontId="3" fillId="5" borderId="2" xfId="1" applyNumberFormat="1" applyFont="1" applyFill="1" applyBorder="1" applyAlignment="1" applyProtection="1">
      <alignment vertical="center"/>
      <protection locked="0"/>
    </xf>
    <xf numFmtId="40" fontId="3" fillId="5" borderId="2" xfId="1" applyNumberFormat="1" applyFont="1" applyFill="1" applyBorder="1" applyAlignment="1" applyProtection="1">
      <alignment vertical="center"/>
    </xf>
    <xf numFmtId="40" fontId="13" fillId="6" borderId="3" xfId="0" applyNumberFormat="1" applyFont="1" applyFill="1" applyBorder="1" applyAlignment="1">
      <alignment vertical="center"/>
    </xf>
    <xf numFmtId="40" fontId="3" fillId="6" borderId="2" xfId="1" applyNumberFormat="1" applyFont="1" applyFill="1" applyBorder="1" applyAlignment="1" applyProtection="1">
      <alignment vertical="center"/>
      <protection locked="0"/>
    </xf>
    <xf numFmtId="40" fontId="6" fillId="6" borderId="2" xfId="1" applyNumberFormat="1" applyFont="1" applyFill="1" applyBorder="1" applyAlignment="1" applyProtection="1">
      <alignment vertical="center"/>
      <protection locked="0"/>
    </xf>
    <xf numFmtId="40" fontId="13" fillId="0" borderId="3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0" fontId="9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/>
    </xf>
    <xf numFmtId="0" fontId="8" fillId="0" borderId="0" xfId="0" applyFont="1" applyFill="1"/>
    <xf numFmtId="0" fontId="8" fillId="0" borderId="0" xfId="0" applyFont="1" applyFill="1" applyAlignment="1">
      <alignment wrapText="1"/>
    </xf>
    <xf numFmtId="40" fontId="8" fillId="0" borderId="0" xfId="0" applyNumberFormat="1" applyFont="1" applyFill="1"/>
    <xf numFmtId="0" fontId="6" fillId="7" borderId="2" xfId="0" applyFont="1" applyFill="1" applyBorder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vertical="center"/>
      <protection locked="0"/>
    </xf>
    <xf numFmtId="0" fontId="6" fillId="7" borderId="2" xfId="0" applyFont="1" applyFill="1" applyBorder="1" applyAlignment="1" applyProtection="1">
      <alignment vertical="center" wrapText="1"/>
      <protection locked="0"/>
    </xf>
    <xf numFmtId="40" fontId="6" fillId="7" borderId="2" xfId="1" applyNumberFormat="1" applyFont="1" applyFill="1" applyBorder="1" applyAlignment="1" applyProtection="1">
      <alignment vertical="center"/>
      <protection locked="0"/>
    </xf>
    <xf numFmtId="40" fontId="6" fillId="7" borderId="2" xfId="1" applyNumberFormat="1" applyFont="1" applyFill="1" applyBorder="1" applyAlignment="1" applyProtection="1">
      <alignment vertical="center"/>
    </xf>
    <xf numFmtId="40" fontId="14" fillId="0" borderId="0" xfId="1" applyNumberFormat="1" applyFont="1" applyProtection="1"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vertical="center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vertical="center" wrapText="1"/>
      <protection locked="0"/>
    </xf>
    <xf numFmtId="0" fontId="0" fillId="0" borderId="0" xfId="0" applyFill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7" fillId="0" borderId="1" xfId="0" applyFont="1" applyFill="1" applyBorder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vertical="center" wrapText="1"/>
      <protection locked="0"/>
    </xf>
    <xf numFmtId="40" fontId="6" fillId="0" borderId="3" xfId="1" applyNumberFormat="1" applyFont="1" applyFill="1" applyBorder="1" applyAlignment="1" applyProtection="1">
      <alignment vertical="center"/>
      <protection locked="0"/>
    </xf>
    <xf numFmtId="40" fontId="6" fillId="0" borderId="3" xfId="1" applyNumberFormat="1" applyFont="1" applyFill="1" applyBorder="1" applyAlignment="1" applyProtection="1">
      <alignment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B2B2B2"/>
      <color rgb="FF808080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563841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7CEFDF57-D100-4621-B63D-29B3B98F6F6E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0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Transparencia fijos" connectionId="2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31"/>
  <sheetViews>
    <sheetView tabSelected="1" topLeftCell="B1" zoomScale="120" zoomScaleNormal="120" workbookViewId="0">
      <selection activeCell="D11" sqref="D11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2.85546875" style="10" customWidth="1"/>
    <col min="11" max="11" width="15" style="10" bestFit="1" customWidth="1"/>
    <col min="12" max="12" width="12" style="36" customWidth="1"/>
    <col min="13" max="13" width="11.7109375" style="36" customWidth="1"/>
    <col min="14" max="14" width="15.140625" style="36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3" customFormat="1" x14ac:dyDescent="0.25">
      <c r="B1" s="104" t="s">
        <v>0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1:15 16382:16383" customFormat="1" x14ac:dyDescent="0.25">
      <c r="B2" s="105" t="s">
        <v>1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</row>
    <row r="3" spans="1:15 16382:16383" x14ac:dyDescent="0.25">
      <c r="A3" s="1"/>
      <c r="B3" s="106" t="s">
        <v>626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</row>
    <row r="4" spans="1:15 16382:16383" s="14" customFormat="1" ht="18" customHeight="1" x14ac:dyDescent="0.2">
      <c r="B4" s="46" t="s">
        <v>592</v>
      </c>
      <c r="C4" s="46" t="s">
        <v>2</v>
      </c>
      <c r="D4" s="47" t="s">
        <v>3</v>
      </c>
      <c r="E4" s="46" t="s">
        <v>4</v>
      </c>
      <c r="F4" s="47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6" t="s">
        <v>14</v>
      </c>
      <c r="XFB4" s="40"/>
      <c r="XFC4" s="40"/>
    </row>
    <row r="5" spans="1:15 16382:16383" s="95" customFormat="1" x14ac:dyDescent="0.25">
      <c r="A5" s="87"/>
      <c r="B5" s="92">
        <v>1</v>
      </c>
      <c r="C5" s="93" t="s">
        <v>15</v>
      </c>
      <c r="D5" s="94" t="s">
        <v>16</v>
      </c>
      <c r="E5" s="93" t="s">
        <v>17</v>
      </c>
      <c r="F5" s="94" t="s">
        <v>18</v>
      </c>
      <c r="G5" s="41">
        <v>240000</v>
      </c>
      <c r="H5" s="41">
        <v>240000</v>
      </c>
      <c r="I5" s="41">
        <v>6888</v>
      </c>
      <c r="J5" s="41">
        <v>45213.58</v>
      </c>
      <c r="K5" s="41">
        <v>6589.14</v>
      </c>
      <c r="L5" s="41">
        <v>20346.169999999998</v>
      </c>
      <c r="M5" s="42">
        <f t="shared" ref="M5:M72" si="0">SUM(I5:L5)</f>
        <v>79036.89</v>
      </c>
      <c r="N5" s="42">
        <f t="shared" ref="N5:N72" si="1">G5-M5</f>
        <v>160963.10999999999</v>
      </c>
      <c r="O5" s="92" t="s">
        <v>19</v>
      </c>
    </row>
    <row r="6" spans="1:15 16382:16383" s="95" customFormat="1" x14ac:dyDescent="0.25">
      <c r="A6" s="87"/>
      <c r="B6" s="92">
        <f>+B5+1</f>
        <v>2</v>
      </c>
      <c r="C6" s="93" t="s">
        <v>20</v>
      </c>
      <c r="D6" s="94" t="s">
        <v>16</v>
      </c>
      <c r="E6" s="93" t="s">
        <v>21</v>
      </c>
      <c r="F6" s="94" t="s">
        <v>22</v>
      </c>
      <c r="G6" s="41">
        <v>45000</v>
      </c>
      <c r="H6" s="41">
        <v>45000</v>
      </c>
      <c r="I6" s="41">
        <v>1291.5</v>
      </c>
      <c r="J6" s="41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92" t="s">
        <v>23</v>
      </c>
    </row>
    <row r="7" spans="1:15 16382:16383" s="95" customFormat="1" ht="15.75" customHeight="1" x14ac:dyDescent="0.25">
      <c r="A7" s="87"/>
      <c r="B7" s="92">
        <f>+B6+1</f>
        <v>3</v>
      </c>
      <c r="C7" s="93" t="s">
        <v>24</v>
      </c>
      <c r="D7" s="94" t="s">
        <v>16</v>
      </c>
      <c r="E7" s="93" t="s">
        <v>25</v>
      </c>
      <c r="F7" s="94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92" t="s">
        <v>23</v>
      </c>
    </row>
    <row r="8" spans="1:15 16382:16383" s="95" customFormat="1" x14ac:dyDescent="0.25">
      <c r="A8" s="87"/>
      <c r="B8" s="92">
        <f t="shared" ref="B8:B73" si="2">+B7+1</f>
        <v>4</v>
      </c>
      <c r="C8" s="93" t="s">
        <v>27</v>
      </c>
      <c r="D8" s="94" t="s">
        <v>16</v>
      </c>
      <c r="E8" s="93" t="s">
        <v>25</v>
      </c>
      <c r="F8" s="94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92" t="s">
        <v>23</v>
      </c>
    </row>
    <row r="9" spans="1:15 16382:16383" s="95" customFormat="1" x14ac:dyDescent="0.25">
      <c r="A9" s="87"/>
      <c r="B9" s="92">
        <f t="shared" si="2"/>
        <v>5</v>
      </c>
      <c r="C9" s="93" t="s">
        <v>29</v>
      </c>
      <c r="D9" s="94" t="s">
        <v>16</v>
      </c>
      <c r="E9" s="93" t="s">
        <v>30</v>
      </c>
      <c r="F9" s="94" t="s">
        <v>31</v>
      </c>
      <c r="G9" s="41">
        <v>85000</v>
      </c>
      <c r="H9" s="41">
        <v>85000</v>
      </c>
      <c r="I9" s="41">
        <v>2439.5</v>
      </c>
      <c r="J9" s="41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92" t="s">
        <v>23</v>
      </c>
    </row>
    <row r="10" spans="1:15 16382:16383" s="95" customFormat="1" x14ac:dyDescent="0.25">
      <c r="A10" s="87"/>
      <c r="B10" s="92">
        <f t="shared" si="2"/>
        <v>6</v>
      </c>
      <c r="C10" s="93" t="s">
        <v>32</v>
      </c>
      <c r="D10" s="94" t="s">
        <v>16</v>
      </c>
      <c r="E10" s="93" t="s">
        <v>30</v>
      </c>
      <c r="F10" s="94" t="s">
        <v>31</v>
      </c>
      <c r="G10" s="41">
        <v>80000</v>
      </c>
      <c r="H10" s="41">
        <v>80000</v>
      </c>
      <c r="I10" s="41">
        <v>2296</v>
      </c>
      <c r="J10" s="41">
        <v>6972</v>
      </c>
      <c r="K10" s="41">
        <v>2432</v>
      </c>
      <c r="L10" s="41">
        <v>1746.67</v>
      </c>
      <c r="M10" s="42">
        <f t="shared" si="0"/>
        <v>13446.67</v>
      </c>
      <c r="N10" s="42">
        <f t="shared" si="1"/>
        <v>66553.33</v>
      </c>
      <c r="O10" s="92" t="s">
        <v>19</v>
      </c>
    </row>
    <row r="11" spans="1:15 16382:16383" s="95" customFormat="1" x14ac:dyDescent="0.25">
      <c r="A11" s="87"/>
      <c r="B11" s="92">
        <f t="shared" si="2"/>
        <v>7</v>
      </c>
      <c r="C11" s="93" t="s">
        <v>33</v>
      </c>
      <c r="D11" s="94" t="s">
        <v>16</v>
      </c>
      <c r="E11" s="93" t="s">
        <v>30</v>
      </c>
      <c r="F11" s="94" t="s">
        <v>34</v>
      </c>
      <c r="G11" s="41">
        <v>40000</v>
      </c>
      <c r="H11" s="41">
        <v>40000</v>
      </c>
      <c r="I11" s="41">
        <v>1148</v>
      </c>
      <c r="J11" s="41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92" t="s">
        <v>19</v>
      </c>
    </row>
    <row r="12" spans="1:15 16382:16383" s="95" customFormat="1" ht="18.75" customHeight="1" x14ac:dyDescent="0.25">
      <c r="A12" s="87"/>
      <c r="B12" s="92">
        <f t="shared" si="2"/>
        <v>8</v>
      </c>
      <c r="C12" s="93" t="s">
        <v>35</v>
      </c>
      <c r="D12" s="94" t="s">
        <v>36</v>
      </c>
      <c r="E12" s="93" t="s">
        <v>25</v>
      </c>
      <c r="F12" s="94" t="s">
        <v>37</v>
      </c>
      <c r="G12" s="41">
        <v>59554.5</v>
      </c>
      <c r="H12" s="41">
        <v>59554.5</v>
      </c>
      <c r="I12" s="41">
        <v>1709.21</v>
      </c>
      <c r="J12" s="41">
        <v>3402.84</v>
      </c>
      <c r="K12" s="41">
        <v>1810.46</v>
      </c>
      <c r="L12" s="41">
        <f>11063.28+63.72</f>
        <v>11127</v>
      </c>
      <c r="M12" s="42">
        <f t="shared" si="0"/>
        <v>18049.510000000002</v>
      </c>
      <c r="N12" s="42">
        <f t="shared" si="1"/>
        <v>41504.99</v>
      </c>
      <c r="O12" s="92" t="s">
        <v>19</v>
      </c>
    </row>
    <row r="13" spans="1:15 16382:16383" s="95" customFormat="1" ht="16.5" customHeight="1" x14ac:dyDescent="0.25">
      <c r="A13" s="87"/>
      <c r="B13" s="92">
        <f t="shared" si="2"/>
        <v>9</v>
      </c>
      <c r="C13" s="93" t="s">
        <v>38</v>
      </c>
      <c r="D13" s="94" t="s">
        <v>1</v>
      </c>
      <c r="E13" s="93" t="s">
        <v>21</v>
      </c>
      <c r="F13" s="94" t="s">
        <v>39</v>
      </c>
      <c r="G13" s="41">
        <v>90000</v>
      </c>
      <c r="H13" s="41">
        <v>90000</v>
      </c>
      <c r="I13" s="41">
        <v>2583</v>
      </c>
      <c r="J13" s="41">
        <v>9753.1200000000008</v>
      </c>
      <c r="K13" s="41">
        <v>2736</v>
      </c>
      <c r="L13" s="41">
        <f>100+2233.36+59.71</f>
        <v>2393.0700000000002</v>
      </c>
      <c r="M13" s="42">
        <f t="shared" si="0"/>
        <v>17465.190000000002</v>
      </c>
      <c r="N13" s="42">
        <f t="shared" si="1"/>
        <v>72534.81</v>
      </c>
      <c r="O13" s="92" t="s">
        <v>19</v>
      </c>
    </row>
    <row r="14" spans="1:15 16382:16383" s="95" customFormat="1" ht="21.75" customHeight="1" x14ac:dyDescent="0.25">
      <c r="A14" s="87"/>
      <c r="B14" s="92">
        <f t="shared" si="2"/>
        <v>10</v>
      </c>
      <c r="C14" s="93" t="s">
        <v>40</v>
      </c>
      <c r="D14" s="94" t="s">
        <v>1</v>
      </c>
      <c r="E14" s="93" t="s">
        <v>25</v>
      </c>
      <c r="F14" s="94" t="s">
        <v>28</v>
      </c>
      <c r="G14" s="41">
        <v>22050</v>
      </c>
      <c r="H14" s="41">
        <v>22050</v>
      </c>
      <c r="I14" s="41">
        <v>632.84</v>
      </c>
      <c r="J14" s="41">
        <v>0</v>
      </c>
      <c r="K14" s="41">
        <v>670.32</v>
      </c>
      <c r="L14" s="41">
        <f>8466.93</f>
        <v>8466.93</v>
      </c>
      <c r="M14" s="42">
        <f>+L14+K14+J14+I14</f>
        <v>9770.09</v>
      </c>
      <c r="N14" s="42">
        <f>+G14-M14</f>
        <v>12279.91</v>
      </c>
      <c r="O14" s="92" t="s">
        <v>23</v>
      </c>
    </row>
    <row r="15" spans="1:15 16382:16383" s="95" customFormat="1" ht="18" customHeight="1" x14ac:dyDescent="0.25">
      <c r="A15" s="87"/>
      <c r="B15" s="92">
        <f t="shared" si="2"/>
        <v>11</v>
      </c>
      <c r="C15" s="93" t="s">
        <v>41</v>
      </c>
      <c r="D15" s="94" t="s">
        <v>1</v>
      </c>
      <c r="E15" s="93" t="s">
        <v>21</v>
      </c>
      <c r="F15" s="94" t="s">
        <v>42</v>
      </c>
      <c r="G15" s="41">
        <v>55000</v>
      </c>
      <c r="H15" s="41">
        <v>55000</v>
      </c>
      <c r="I15" s="41">
        <v>1578.5</v>
      </c>
      <c r="J15" s="41">
        <v>2302.36</v>
      </c>
      <c r="K15" s="41">
        <v>1672</v>
      </c>
      <c r="L15" s="41">
        <f>100+31.21+500+1715.46+2637.48+7295.42</f>
        <v>12279.57</v>
      </c>
      <c r="M15" s="42">
        <f t="shared" si="0"/>
        <v>17832.43</v>
      </c>
      <c r="N15" s="42">
        <f t="shared" si="1"/>
        <v>37167.57</v>
      </c>
      <c r="O15" s="92" t="s">
        <v>23</v>
      </c>
    </row>
    <row r="16" spans="1:15 16382:16383" s="91" customFormat="1" ht="20.25" customHeight="1" x14ac:dyDescent="0.25">
      <c r="A16" s="87"/>
      <c r="B16" s="88">
        <f t="shared" si="2"/>
        <v>12</v>
      </c>
      <c r="C16" s="89" t="s">
        <v>43</v>
      </c>
      <c r="D16" s="90" t="s">
        <v>1</v>
      </c>
      <c r="E16" s="89" t="s">
        <v>25</v>
      </c>
      <c r="F16" s="90" t="s">
        <v>28</v>
      </c>
      <c r="G16" s="43">
        <v>30000</v>
      </c>
      <c r="H16" s="43">
        <v>30000</v>
      </c>
      <c r="I16" s="43">
        <v>861</v>
      </c>
      <c r="J16" s="43">
        <v>0</v>
      </c>
      <c r="K16" s="43">
        <v>912</v>
      </c>
      <c r="L16" s="43">
        <v>6514.71</v>
      </c>
      <c r="M16" s="44">
        <f t="shared" si="0"/>
        <v>8287.7099999999991</v>
      </c>
      <c r="N16" s="44">
        <f t="shared" si="1"/>
        <v>21712.29</v>
      </c>
      <c r="O16" s="88" t="s">
        <v>23</v>
      </c>
    </row>
    <row r="17" spans="1:15" s="91" customFormat="1" ht="21" customHeight="1" x14ac:dyDescent="0.25">
      <c r="A17" s="87"/>
      <c r="B17" s="88">
        <f>+B16+1</f>
        <v>13</v>
      </c>
      <c r="C17" s="89" t="s">
        <v>615</v>
      </c>
      <c r="D17" s="90" t="s">
        <v>1</v>
      </c>
      <c r="E17" s="89" t="s">
        <v>25</v>
      </c>
      <c r="F17" s="90" t="s">
        <v>45</v>
      </c>
      <c r="G17" s="43">
        <v>23000</v>
      </c>
      <c r="H17" s="43">
        <v>23000</v>
      </c>
      <c r="I17" s="43">
        <v>660.1</v>
      </c>
      <c r="J17" s="43">
        <v>0</v>
      </c>
      <c r="K17" s="43">
        <v>699.2</v>
      </c>
      <c r="L17" s="43">
        <v>0</v>
      </c>
      <c r="M17" s="44">
        <v>1359.3</v>
      </c>
      <c r="N17" s="44">
        <f>G17-M17</f>
        <v>21640.7</v>
      </c>
      <c r="O17" s="88" t="s">
        <v>23</v>
      </c>
    </row>
    <row r="18" spans="1:15" s="91" customFormat="1" ht="16.5" customHeight="1" x14ac:dyDescent="0.25">
      <c r="A18" s="87"/>
      <c r="B18" s="88">
        <f>+B17+1</f>
        <v>14</v>
      </c>
      <c r="C18" s="89" t="s">
        <v>44</v>
      </c>
      <c r="D18" s="90" t="s">
        <v>1</v>
      </c>
      <c r="E18" s="89" t="s">
        <v>21</v>
      </c>
      <c r="F18" s="90" t="s">
        <v>28</v>
      </c>
      <c r="G18" s="43">
        <v>30000</v>
      </c>
      <c r="H18" s="43">
        <v>30000</v>
      </c>
      <c r="I18" s="43">
        <v>861</v>
      </c>
      <c r="J18" s="43">
        <v>0</v>
      </c>
      <c r="K18" s="43">
        <v>912</v>
      </c>
      <c r="L18" s="43">
        <v>131.21</v>
      </c>
      <c r="M18" s="44">
        <f t="shared" si="0"/>
        <v>1904.21</v>
      </c>
      <c r="N18" s="44">
        <f t="shared" si="1"/>
        <v>28095.79</v>
      </c>
      <c r="O18" s="88" t="s">
        <v>23</v>
      </c>
    </row>
    <row r="19" spans="1:15" s="91" customFormat="1" ht="16.5" customHeight="1" x14ac:dyDescent="0.25">
      <c r="A19" s="87"/>
      <c r="B19" s="88">
        <f t="shared" si="2"/>
        <v>15</v>
      </c>
      <c r="C19" s="89" t="s">
        <v>588</v>
      </c>
      <c r="D19" s="90" t="s">
        <v>1</v>
      </c>
      <c r="E19" s="89" t="s">
        <v>21</v>
      </c>
      <c r="F19" s="90" t="s">
        <v>42</v>
      </c>
      <c r="G19" s="43">
        <v>40000</v>
      </c>
      <c r="H19" s="43">
        <f>+G19</f>
        <v>40000</v>
      </c>
      <c r="I19" s="43">
        <v>1148</v>
      </c>
      <c r="J19" s="43">
        <v>442.65</v>
      </c>
      <c r="K19" s="43">
        <v>1216</v>
      </c>
      <c r="L19" s="43">
        <f>31.21+2000</f>
        <v>2031.21</v>
      </c>
      <c r="M19" s="44">
        <f>+L19+K19+J19+I19</f>
        <v>4837.8600000000006</v>
      </c>
      <c r="N19" s="44">
        <f>+G19-M19</f>
        <v>35162.14</v>
      </c>
      <c r="O19" s="88" t="s">
        <v>19</v>
      </c>
    </row>
    <row r="20" spans="1:15" s="91" customFormat="1" ht="18.75" customHeight="1" x14ac:dyDescent="0.25">
      <c r="A20" s="87"/>
      <c r="B20" s="88">
        <f>+B19+1</f>
        <v>16</v>
      </c>
      <c r="C20" s="89" t="s">
        <v>46</v>
      </c>
      <c r="D20" s="90" t="s">
        <v>47</v>
      </c>
      <c r="E20" s="89" t="s">
        <v>21</v>
      </c>
      <c r="F20" s="90" t="s">
        <v>629</v>
      </c>
      <c r="G20" s="43">
        <v>65000</v>
      </c>
      <c r="H20" s="43">
        <v>65000</v>
      </c>
      <c r="I20" s="43">
        <v>1865.5</v>
      </c>
      <c r="J20" s="43">
        <f>2361.5+1722.98</f>
        <v>4084.48</v>
      </c>
      <c r="K20" s="43">
        <v>1976</v>
      </c>
      <c r="L20" s="43">
        <v>24195.43</v>
      </c>
      <c r="M20" s="44">
        <f>+L20+K20+J20+I20</f>
        <v>32121.41</v>
      </c>
      <c r="N20" s="44">
        <f t="shared" si="1"/>
        <v>32878.589999999997</v>
      </c>
      <c r="O20" s="88" t="s">
        <v>19</v>
      </c>
    </row>
    <row r="21" spans="1:15" s="91" customFormat="1" ht="18.75" customHeight="1" x14ac:dyDescent="0.25">
      <c r="A21" s="87"/>
      <c r="B21" s="88">
        <f t="shared" si="2"/>
        <v>17</v>
      </c>
      <c r="C21" s="89" t="s">
        <v>49</v>
      </c>
      <c r="D21" s="90" t="s">
        <v>47</v>
      </c>
      <c r="E21" s="89" t="s">
        <v>21</v>
      </c>
      <c r="F21" s="90" t="s">
        <v>50</v>
      </c>
      <c r="G21" s="43">
        <v>75000</v>
      </c>
      <c r="H21" s="43">
        <v>75000</v>
      </c>
      <c r="I21" s="43">
        <v>2152.5</v>
      </c>
      <c r="J21" s="43">
        <v>6309.38</v>
      </c>
      <c r="K21" s="43">
        <v>2280</v>
      </c>
      <c r="L21" s="43">
        <v>21533.03</v>
      </c>
      <c r="M21" s="44">
        <f t="shared" si="0"/>
        <v>32274.91</v>
      </c>
      <c r="N21" s="44">
        <f t="shared" si="1"/>
        <v>42725.09</v>
      </c>
      <c r="O21" s="88" t="s">
        <v>19</v>
      </c>
    </row>
    <row r="22" spans="1:15" s="39" customFormat="1" ht="18" customHeight="1" x14ac:dyDescent="0.25">
      <c r="A22" s="12"/>
      <c r="B22" s="81">
        <f t="shared" si="2"/>
        <v>18</v>
      </c>
      <c r="C22" s="82" t="s">
        <v>51</v>
      </c>
      <c r="D22" s="83" t="s">
        <v>47</v>
      </c>
      <c r="E22" s="82" t="s">
        <v>25</v>
      </c>
      <c r="F22" s="83" t="s">
        <v>45</v>
      </c>
      <c r="G22" s="84">
        <v>30000</v>
      </c>
      <c r="H22" s="84">
        <v>30000</v>
      </c>
      <c r="I22" s="84">
        <v>861</v>
      </c>
      <c r="J22" s="84">
        <v>0</v>
      </c>
      <c r="K22" s="84">
        <v>912</v>
      </c>
      <c r="L22" s="84">
        <v>6922.3</v>
      </c>
      <c r="M22" s="85">
        <f>+L22+K22+J22+I22</f>
        <v>8695.2999999999993</v>
      </c>
      <c r="N22" s="85">
        <f>+G22-M22</f>
        <v>21304.7</v>
      </c>
      <c r="O22" s="81" t="s">
        <v>23</v>
      </c>
    </row>
    <row r="23" spans="1:15" s="91" customFormat="1" ht="19.5" customHeight="1" x14ac:dyDescent="0.25">
      <c r="A23" s="87"/>
      <c r="B23" s="88">
        <f t="shared" si="2"/>
        <v>19</v>
      </c>
      <c r="C23" s="89" t="s">
        <v>52</v>
      </c>
      <c r="D23" s="90" t="s">
        <v>53</v>
      </c>
      <c r="E23" s="89" t="s">
        <v>25</v>
      </c>
      <c r="F23" s="90" t="s">
        <v>54</v>
      </c>
      <c r="G23" s="43">
        <v>85000</v>
      </c>
      <c r="H23" s="43">
        <v>85000</v>
      </c>
      <c r="I23" s="43">
        <v>2439.5</v>
      </c>
      <c r="J23" s="43">
        <v>8576.99</v>
      </c>
      <c r="K23" s="43">
        <v>2584</v>
      </c>
      <c r="L23" s="43">
        <v>13601.54</v>
      </c>
      <c r="M23" s="44">
        <f>+L23+K23+J23+I23</f>
        <v>27202.03</v>
      </c>
      <c r="N23" s="44">
        <f>+G23-M23</f>
        <v>57797.97</v>
      </c>
      <c r="O23" s="88" t="s">
        <v>19</v>
      </c>
    </row>
    <row r="24" spans="1:15" s="39" customFormat="1" x14ac:dyDescent="0.25">
      <c r="A24" s="12"/>
      <c r="B24" s="81">
        <f t="shared" si="2"/>
        <v>20</v>
      </c>
      <c r="C24" s="82" t="s">
        <v>55</v>
      </c>
      <c r="D24" s="83" t="s">
        <v>56</v>
      </c>
      <c r="E24" s="82" t="s">
        <v>25</v>
      </c>
      <c r="F24" s="83" t="s">
        <v>57</v>
      </c>
      <c r="G24" s="84">
        <v>41207.22</v>
      </c>
      <c r="H24" s="84">
        <v>41207.22</v>
      </c>
      <c r="I24" s="84">
        <v>1182.6500000000001</v>
      </c>
      <c r="J24" s="84">
        <v>613.03</v>
      </c>
      <c r="K24" s="84">
        <v>1252.7</v>
      </c>
      <c r="L24" s="84">
        <v>8040.3</v>
      </c>
      <c r="M24" s="85">
        <f t="shared" si="0"/>
        <v>11088.68</v>
      </c>
      <c r="N24" s="85">
        <f t="shared" si="1"/>
        <v>30118.54</v>
      </c>
      <c r="O24" s="81" t="s">
        <v>19</v>
      </c>
    </row>
    <row r="25" spans="1:15" s="91" customFormat="1" ht="18.75" customHeight="1" x14ac:dyDescent="0.25">
      <c r="A25" s="87"/>
      <c r="B25" s="88">
        <f t="shared" si="2"/>
        <v>21</v>
      </c>
      <c r="C25" s="89" t="s">
        <v>58</v>
      </c>
      <c r="D25" s="90" t="s">
        <v>59</v>
      </c>
      <c r="E25" s="89" t="s">
        <v>25</v>
      </c>
      <c r="F25" s="90" t="s">
        <v>60</v>
      </c>
      <c r="G25" s="43">
        <v>25000</v>
      </c>
      <c r="H25" s="43">
        <v>25000</v>
      </c>
      <c r="I25" s="43">
        <v>717.5</v>
      </c>
      <c r="J25" s="43">
        <v>0</v>
      </c>
      <c r="K25" s="43">
        <v>760</v>
      </c>
      <c r="L25" s="43">
        <v>31.21</v>
      </c>
      <c r="M25" s="44">
        <f t="shared" si="0"/>
        <v>1508.71</v>
      </c>
      <c r="N25" s="44">
        <f t="shared" si="1"/>
        <v>23491.29</v>
      </c>
      <c r="O25" s="88" t="s">
        <v>19</v>
      </c>
    </row>
    <row r="26" spans="1:15" s="91" customFormat="1" ht="18.75" customHeight="1" x14ac:dyDescent="0.25">
      <c r="A26" s="87"/>
      <c r="B26" s="88">
        <f t="shared" si="2"/>
        <v>22</v>
      </c>
      <c r="C26" s="89" t="s">
        <v>61</v>
      </c>
      <c r="D26" s="90" t="s">
        <v>59</v>
      </c>
      <c r="E26" s="89" t="s">
        <v>25</v>
      </c>
      <c r="F26" s="90" t="s">
        <v>62</v>
      </c>
      <c r="G26" s="43">
        <v>13750</v>
      </c>
      <c r="H26" s="43">
        <v>13750</v>
      </c>
      <c r="I26" s="43">
        <v>394.63</v>
      </c>
      <c r="J26" s="43">
        <v>0</v>
      </c>
      <c r="K26" s="43">
        <v>418</v>
      </c>
      <c r="L26" s="43">
        <v>8062.58</v>
      </c>
      <c r="M26" s="44">
        <f t="shared" si="0"/>
        <v>8875.2099999999991</v>
      </c>
      <c r="N26" s="44">
        <f t="shared" si="1"/>
        <v>4874.7900000000009</v>
      </c>
      <c r="O26" s="88" t="s">
        <v>23</v>
      </c>
    </row>
    <row r="27" spans="1:15" s="91" customFormat="1" x14ac:dyDescent="0.25">
      <c r="A27" s="87"/>
      <c r="B27" s="88">
        <f>+B26+1</f>
        <v>23</v>
      </c>
      <c r="C27" s="89" t="s">
        <v>617</v>
      </c>
      <c r="D27" s="90" t="s">
        <v>356</v>
      </c>
      <c r="E27" s="89" t="s">
        <v>25</v>
      </c>
      <c r="F27" s="89" t="s">
        <v>360</v>
      </c>
      <c r="G27" s="43">
        <v>15000</v>
      </c>
      <c r="H27" s="43">
        <v>15000</v>
      </c>
      <c r="I27" s="43">
        <v>430.5</v>
      </c>
      <c r="J27" s="43">
        <v>0</v>
      </c>
      <c r="K27" s="43">
        <v>456</v>
      </c>
      <c r="L27" s="43">
        <v>1000</v>
      </c>
      <c r="M27" s="44">
        <f>I27+J27+K27+L27</f>
        <v>1886.5</v>
      </c>
      <c r="N27" s="44">
        <f>G27-M27</f>
        <v>13113.5</v>
      </c>
      <c r="O27" s="88" t="s">
        <v>19</v>
      </c>
    </row>
    <row r="28" spans="1:15" s="91" customFormat="1" x14ac:dyDescent="0.25">
      <c r="A28" s="87"/>
      <c r="B28" s="88">
        <f>+B27+1</f>
        <v>24</v>
      </c>
      <c r="C28" s="89" t="s">
        <v>616</v>
      </c>
      <c r="D28" s="90" t="s">
        <v>356</v>
      </c>
      <c r="E28" s="89" t="s">
        <v>25</v>
      </c>
      <c r="F28" s="89" t="s">
        <v>360</v>
      </c>
      <c r="G28" s="43">
        <v>15000</v>
      </c>
      <c r="H28" s="43">
        <v>15000</v>
      </c>
      <c r="I28" s="43">
        <v>430.5</v>
      </c>
      <c r="J28" s="43">
        <v>0</v>
      </c>
      <c r="K28" s="43">
        <v>456</v>
      </c>
      <c r="L28" s="43">
        <v>1000</v>
      </c>
      <c r="M28" s="44">
        <f>I28+J28+K28+L28</f>
        <v>1886.5</v>
      </c>
      <c r="N28" s="44">
        <f>G28-M28</f>
        <v>13113.5</v>
      </c>
      <c r="O28" s="88" t="s">
        <v>19</v>
      </c>
    </row>
    <row r="29" spans="1:15" s="91" customFormat="1" ht="18" customHeight="1" x14ac:dyDescent="0.25">
      <c r="A29" s="87"/>
      <c r="B29" s="88">
        <f>+B28+1</f>
        <v>25</v>
      </c>
      <c r="C29" s="89" t="s">
        <v>63</v>
      </c>
      <c r="D29" s="90" t="s">
        <v>59</v>
      </c>
      <c r="E29" s="89" t="s">
        <v>25</v>
      </c>
      <c r="F29" s="90" t="s">
        <v>62</v>
      </c>
      <c r="G29" s="43">
        <v>13750</v>
      </c>
      <c r="H29" s="43">
        <v>13750</v>
      </c>
      <c r="I29" s="43">
        <v>394.63</v>
      </c>
      <c r="J29" s="43">
        <v>0</v>
      </c>
      <c r="K29" s="43">
        <v>418</v>
      </c>
      <c r="L29" s="43">
        <v>151.21</v>
      </c>
      <c r="M29" s="44">
        <f t="shared" si="0"/>
        <v>963.84</v>
      </c>
      <c r="N29" s="44">
        <f t="shared" si="1"/>
        <v>12786.16</v>
      </c>
      <c r="O29" s="88" t="s">
        <v>19</v>
      </c>
    </row>
    <row r="30" spans="1:15" s="39" customFormat="1" ht="18.75" customHeight="1" x14ac:dyDescent="0.25">
      <c r="A30" s="12"/>
      <c r="B30" s="81">
        <f t="shared" si="2"/>
        <v>26</v>
      </c>
      <c r="C30" s="82" t="s">
        <v>64</v>
      </c>
      <c r="D30" s="83" t="s">
        <v>59</v>
      </c>
      <c r="E30" s="82" t="s">
        <v>25</v>
      </c>
      <c r="F30" s="83" t="s">
        <v>62</v>
      </c>
      <c r="G30" s="84">
        <v>17000</v>
      </c>
      <c r="H30" s="84">
        <v>17000</v>
      </c>
      <c r="I30" s="84">
        <v>487.9</v>
      </c>
      <c r="J30" s="84">
        <v>0</v>
      </c>
      <c r="K30" s="84">
        <v>516.79999999999995</v>
      </c>
      <c r="L30" s="84">
        <v>3229.11</v>
      </c>
      <c r="M30" s="85">
        <f t="shared" si="0"/>
        <v>4233.8100000000004</v>
      </c>
      <c r="N30" s="85">
        <f t="shared" si="1"/>
        <v>12766.189999999999</v>
      </c>
      <c r="O30" s="81" t="s">
        <v>19</v>
      </c>
    </row>
    <row r="31" spans="1:15" s="91" customFormat="1" ht="20.25" customHeight="1" x14ac:dyDescent="0.25">
      <c r="A31" s="87"/>
      <c r="B31" s="88">
        <f t="shared" si="2"/>
        <v>27</v>
      </c>
      <c r="C31" s="89" t="s">
        <v>65</v>
      </c>
      <c r="D31" s="90" t="s">
        <v>59</v>
      </c>
      <c r="E31" s="89" t="s">
        <v>25</v>
      </c>
      <c r="F31" s="90" t="s">
        <v>66</v>
      </c>
      <c r="G31" s="43">
        <v>20000</v>
      </c>
      <c r="H31" s="43">
        <v>20000</v>
      </c>
      <c r="I31" s="43">
        <v>574</v>
      </c>
      <c r="J31" s="43">
        <v>0</v>
      </c>
      <c r="K31" s="43">
        <v>608</v>
      </c>
      <c r="L31" s="43">
        <v>31.21</v>
      </c>
      <c r="M31" s="44">
        <f t="shared" si="0"/>
        <v>1213.21</v>
      </c>
      <c r="N31" s="44">
        <f t="shared" si="1"/>
        <v>18786.79</v>
      </c>
      <c r="O31" s="88" t="s">
        <v>19</v>
      </c>
    </row>
    <row r="32" spans="1:15" s="91" customFormat="1" ht="19.5" customHeight="1" x14ac:dyDescent="0.25">
      <c r="A32" s="87"/>
      <c r="B32" s="88">
        <f t="shared" si="2"/>
        <v>28</v>
      </c>
      <c r="C32" s="89" t="s">
        <v>67</v>
      </c>
      <c r="D32" s="90" t="s">
        <v>59</v>
      </c>
      <c r="E32" s="89" t="s">
        <v>25</v>
      </c>
      <c r="F32" s="90" t="s">
        <v>45</v>
      </c>
      <c r="G32" s="43">
        <v>30000</v>
      </c>
      <c r="H32" s="43">
        <v>30000</v>
      </c>
      <c r="I32" s="43">
        <v>861</v>
      </c>
      <c r="J32" s="43">
        <v>0</v>
      </c>
      <c r="K32" s="43">
        <v>912</v>
      </c>
      <c r="L32" s="43">
        <f>31.21+1000</f>
        <v>1031.21</v>
      </c>
      <c r="M32" s="44">
        <f t="shared" si="0"/>
        <v>2804.21</v>
      </c>
      <c r="N32" s="44">
        <f t="shared" si="1"/>
        <v>27195.79</v>
      </c>
      <c r="O32" s="88" t="s">
        <v>23</v>
      </c>
    </row>
    <row r="33" spans="1:15" s="91" customFormat="1" ht="16.5" customHeight="1" x14ac:dyDescent="0.25">
      <c r="A33" s="87"/>
      <c r="B33" s="88">
        <f t="shared" si="2"/>
        <v>29</v>
      </c>
      <c r="C33" s="89" t="s">
        <v>68</v>
      </c>
      <c r="D33" s="90" t="s">
        <v>59</v>
      </c>
      <c r="E33" s="89" t="s">
        <v>25</v>
      </c>
      <c r="F33" s="90" t="s">
        <v>69</v>
      </c>
      <c r="G33" s="43">
        <v>25000</v>
      </c>
      <c r="H33" s="43">
        <v>25000</v>
      </c>
      <c r="I33" s="43">
        <v>717.5</v>
      </c>
      <c r="J33" s="43">
        <v>0</v>
      </c>
      <c r="K33" s="43">
        <v>760</v>
      </c>
      <c r="L33" s="43">
        <v>5031.21</v>
      </c>
      <c r="M33" s="44">
        <f t="shared" si="0"/>
        <v>6508.71</v>
      </c>
      <c r="N33" s="44">
        <f t="shared" si="1"/>
        <v>18491.29</v>
      </c>
      <c r="O33" s="88" t="s">
        <v>23</v>
      </c>
    </row>
    <row r="34" spans="1:15" s="91" customFormat="1" ht="18.75" customHeight="1" x14ac:dyDescent="0.25">
      <c r="A34" s="87"/>
      <c r="B34" s="88">
        <f t="shared" si="2"/>
        <v>30</v>
      </c>
      <c r="C34" s="89" t="s">
        <v>630</v>
      </c>
      <c r="D34" s="90" t="s">
        <v>59</v>
      </c>
      <c r="E34" s="89" t="s">
        <v>25</v>
      </c>
      <c r="F34" s="90" t="s">
        <v>62</v>
      </c>
      <c r="G34" s="43">
        <v>17000</v>
      </c>
      <c r="H34" s="43">
        <v>17000</v>
      </c>
      <c r="I34" s="43">
        <v>487.9</v>
      </c>
      <c r="J34" s="43">
        <v>0</v>
      </c>
      <c r="K34" s="43">
        <v>516.79999999999995</v>
      </c>
      <c r="L34" s="43">
        <f>31.21+1500+2637.48</f>
        <v>4168.6900000000005</v>
      </c>
      <c r="M34" s="44">
        <f t="shared" si="0"/>
        <v>5173.3900000000003</v>
      </c>
      <c r="N34" s="44">
        <f t="shared" si="1"/>
        <v>11826.61</v>
      </c>
      <c r="O34" s="88" t="s">
        <v>23</v>
      </c>
    </row>
    <row r="35" spans="1:15" s="91" customFormat="1" ht="21" customHeight="1" x14ac:dyDescent="0.25">
      <c r="A35" s="87"/>
      <c r="B35" s="88">
        <f t="shared" si="2"/>
        <v>31</v>
      </c>
      <c r="C35" s="89" t="s">
        <v>71</v>
      </c>
      <c r="D35" s="90" t="s">
        <v>59</v>
      </c>
      <c r="E35" s="89" t="s">
        <v>25</v>
      </c>
      <c r="F35" s="90" t="s">
        <v>72</v>
      </c>
      <c r="G35" s="43">
        <v>30000</v>
      </c>
      <c r="H35" s="43">
        <v>30000</v>
      </c>
      <c r="I35" s="43">
        <v>861</v>
      </c>
      <c r="J35" s="43">
        <v>0</v>
      </c>
      <c r="K35" s="43">
        <v>912</v>
      </c>
      <c r="L35" s="43">
        <v>31.21</v>
      </c>
      <c r="M35" s="44">
        <f t="shared" si="0"/>
        <v>1804.21</v>
      </c>
      <c r="N35" s="44">
        <f t="shared" si="1"/>
        <v>28195.79</v>
      </c>
      <c r="O35" s="88" t="s">
        <v>19</v>
      </c>
    </row>
    <row r="36" spans="1:15" s="91" customFormat="1" ht="18" customHeight="1" x14ac:dyDescent="0.25">
      <c r="A36" s="87"/>
      <c r="B36" s="88">
        <f t="shared" si="2"/>
        <v>32</v>
      </c>
      <c r="C36" s="89" t="s">
        <v>73</v>
      </c>
      <c r="D36" s="90" t="s">
        <v>59</v>
      </c>
      <c r="E36" s="89" t="s">
        <v>25</v>
      </c>
      <c r="F36" s="90" t="s">
        <v>45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131.21</v>
      </c>
      <c r="M36" s="44">
        <f t="shared" si="0"/>
        <v>1904.21</v>
      </c>
      <c r="N36" s="44">
        <f t="shared" si="1"/>
        <v>28095.79</v>
      </c>
      <c r="O36" s="88" t="s">
        <v>23</v>
      </c>
    </row>
    <row r="37" spans="1:15" s="91" customFormat="1" ht="18" customHeight="1" x14ac:dyDescent="0.25">
      <c r="A37" s="87"/>
      <c r="B37" s="88">
        <f t="shared" si="2"/>
        <v>33</v>
      </c>
      <c r="C37" s="89" t="s">
        <v>74</v>
      </c>
      <c r="D37" s="90" t="s">
        <v>59</v>
      </c>
      <c r="E37" s="89" t="s">
        <v>25</v>
      </c>
      <c r="F37" s="90" t="s">
        <v>75</v>
      </c>
      <c r="G37" s="43">
        <v>30000</v>
      </c>
      <c r="H37" s="43">
        <v>30000</v>
      </c>
      <c r="I37" s="43">
        <v>861</v>
      </c>
      <c r="J37" s="43">
        <v>0</v>
      </c>
      <c r="K37" s="43">
        <v>912</v>
      </c>
      <c r="L37" s="43">
        <v>0</v>
      </c>
      <c r="M37" s="44">
        <f t="shared" si="0"/>
        <v>1773</v>
      </c>
      <c r="N37" s="44">
        <f t="shared" si="1"/>
        <v>28227</v>
      </c>
      <c r="O37" s="88" t="s">
        <v>23</v>
      </c>
    </row>
    <row r="38" spans="1:15" s="91" customFormat="1" ht="19.5" customHeight="1" x14ac:dyDescent="0.25">
      <c r="A38" s="87"/>
      <c r="B38" s="88">
        <f t="shared" si="2"/>
        <v>34</v>
      </c>
      <c r="C38" s="89" t="s">
        <v>76</v>
      </c>
      <c r="D38" s="90" t="s">
        <v>59</v>
      </c>
      <c r="E38" s="89" t="s">
        <v>25</v>
      </c>
      <c r="F38" s="90" t="s">
        <v>62</v>
      </c>
      <c r="G38" s="43">
        <v>14850</v>
      </c>
      <c r="H38" s="43">
        <v>14850</v>
      </c>
      <c r="I38" s="43">
        <v>426.2</v>
      </c>
      <c r="J38" s="43">
        <v>0</v>
      </c>
      <c r="K38" s="43">
        <v>451.44</v>
      </c>
      <c r="L38" s="43">
        <v>3938.52</v>
      </c>
      <c r="M38" s="44">
        <f t="shared" si="0"/>
        <v>4816.16</v>
      </c>
      <c r="N38" s="44">
        <f t="shared" si="1"/>
        <v>10033.84</v>
      </c>
      <c r="O38" s="88" t="s">
        <v>23</v>
      </c>
    </row>
    <row r="39" spans="1:15" s="91" customFormat="1" x14ac:dyDescent="0.25">
      <c r="A39" s="87"/>
      <c r="B39" s="88">
        <f t="shared" si="2"/>
        <v>35</v>
      </c>
      <c r="C39" s="89" t="s">
        <v>587</v>
      </c>
      <c r="D39" s="90" t="s">
        <v>59</v>
      </c>
      <c r="E39" s="89" t="s">
        <v>25</v>
      </c>
      <c r="F39" s="90" t="s">
        <v>66</v>
      </c>
      <c r="G39" s="43">
        <v>20000</v>
      </c>
      <c r="H39" s="43">
        <f>+G39</f>
        <v>20000</v>
      </c>
      <c r="I39" s="43">
        <f>+G39*2.87%</f>
        <v>574</v>
      </c>
      <c r="J39" s="43">
        <v>0</v>
      </c>
      <c r="K39" s="43">
        <f>+G39*3.04%</f>
        <v>608</v>
      </c>
      <c r="L39" s="43">
        <f>1000+31.21</f>
        <v>1031.21</v>
      </c>
      <c r="M39" s="44">
        <f>+L39+K39+I39</f>
        <v>2213.21</v>
      </c>
      <c r="N39" s="44">
        <f t="shared" si="1"/>
        <v>17786.79</v>
      </c>
      <c r="O39" s="88" t="s">
        <v>19</v>
      </c>
    </row>
    <row r="40" spans="1:15" s="91" customFormat="1" ht="21" customHeight="1" x14ac:dyDescent="0.25">
      <c r="A40" s="87"/>
      <c r="B40" s="88">
        <f t="shared" si="2"/>
        <v>36</v>
      </c>
      <c r="C40" s="89" t="s">
        <v>77</v>
      </c>
      <c r="D40" s="90" t="s">
        <v>78</v>
      </c>
      <c r="E40" s="89" t="s">
        <v>25</v>
      </c>
      <c r="F40" s="90" t="s">
        <v>75</v>
      </c>
      <c r="G40" s="43">
        <v>30000</v>
      </c>
      <c r="H40" s="43">
        <v>30000</v>
      </c>
      <c r="I40" s="43">
        <v>861</v>
      </c>
      <c r="J40" s="43">
        <v>0</v>
      </c>
      <c r="K40" s="43">
        <v>912</v>
      </c>
      <c r="L40" s="43">
        <v>3647.07</v>
      </c>
      <c r="M40" s="44">
        <f>+L40+K40+J40+I40</f>
        <v>5420.07</v>
      </c>
      <c r="N40" s="44">
        <f>+G40-M40</f>
        <v>24579.93</v>
      </c>
      <c r="O40" s="88" t="s">
        <v>19</v>
      </c>
    </row>
    <row r="41" spans="1:15" s="91" customFormat="1" x14ac:dyDescent="0.25">
      <c r="A41" s="87"/>
      <c r="B41" s="88">
        <f t="shared" si="2"/>
        <v>37</v>
      </c>
      <c r="C41" s="89" t="s">
        <v>79</v>
      </c>
      <c r="D41" s="90" t="s">
        <v>80</v>
      </c>
      <c r="E41" s="89" t="s">
        <v>21</v>
      </c>
      <c r="F41" s="90" t="s">
        <v>81</v>
      </c>
      <c r="G41" s="43">
        <v>75000</v>
      </c>
      <c r="H41" s="43">
        <v>75000</v>
      </c>
      <c r="I41" s="43">
        <v>2152.5</v>
      </c>
      <c r="J41" s="43">
        <v>5966.28</v>
      </c>
      <c r="K41" s="43">
        <v>2280</v>
      </c>
      <c r="L41" s="43">
        <f>180+2079.28+31.21+500+1715.46+2637.48</f>
        <v>7143.43</v>
      </c>
      <c r="M41" s="44">
        <f>+L41+K41+J41+I41</f>
        <v>17542.21</v>
      </c>
      <c r="N41" s="44">
        <f>+G41-M41</f>
        <v>57457.79</v>
      </c>
      <c r="O41" s="88" t="s">
        <v>23</v>
      </c>
    </row>
    <row r="42" spans="1:15" s="91" customFormat="1" ht="17.25" customHeight="1" x14ac:dyDescent="0.25">
      <c r="A42" s="87"/>
      <c r="B42" s="88">
        <f t="shared" si="2"/>
        <v>38</v>
      </c>
      <c r="C42" s="89" t="s">
        <v>589</v>
      </c>
      <c r="D42" s="90" t="s">
        <v>80</v>
      </c>
      <c r="E42" s="89" t="s">
        <v>21</v>
      </c>
      <c r="F42" s="90" t="s">
        <v>590</v>
      </c>
      <c r="G42" s="43">
        <v>40000</v>
      </c>
      <c r="H42" s="43">
        <v>40000</v>
      </c>
      <c r="I42" s="43">
        <v>1148</v>
      </c>
      <c r="J42" s="43">
        <v>442.65</v>
      </c>
      <c r="K42" s="43">
        <v>1216</v>
      </c>
      <c r="L42" s="43">
        <f>415.86+31.21+1000</f>
        <v>1447.07</v>
      </c>
      <c r="M42" s="44">
        <f t="shared" si="0"/>
        <v>4253.72</v>
      </c>
      <c r="N42" s="44">
        <f t="shared" si="1"/>
        <v>35746.28</v>
      </c>
      <c r="O42" s="88" t="s">
        <v>23</v>
      </c>
    </row>
    <row r="43" spans="1:15" s="91" customFormat="1" x14ac:dyDescent="0.25">
      <c r="A43" s="87"/>
      <c r="B43" s="88">
        <f t="shared" si="2"/>
        <v>39</v>
      </c>
      <c r="C43" s="89" t="s">
        <v>82</v>
      </c>
      <c r="D43" s="90" t="s">
        <v>83</v>
      </c>
      <c r="E43" s="89" t="s">
        <v>25</v>
      </c>
      <c r="F43" s="90" t="s">
        <v>84</v>
      </c>
      <c r="G43" s="43">
        <v>60000</v>
      </c>
      <c r="H43" s="43">
        <v>60000</v>
      </c>
      <c r="I43" s="43">
        <v>1722</v>
      </c>
      <c r="J43" s="43">
        <v>3486.68</v>
      </c>
      <c r="K43" s="43">
        <v>1824</v>
      </c>
      <c r="L43" s="43">
        <f>140+1507.48+31.21+6000+8789.26+2637.48</f>
        <v>19105.43</v>
      </c>
      <c r="M43" s="44">
        <f>+L43+K43+J43+I43</f>
        <v>26138.11</v>
      </c>
      <c r="N43" s="44">
        <f>+G43-M43</f>
        <v>33861.89</v>
      </c>
      <c r="O43" s="88" t="s">
        <v>19</v>
      </c>
    </row>
    <row r="44" spans="1:15" s="91" customFormat="1" ht="19.5" customHeight="1" x14ac:dyDescent="0.25">
      <c r="A44" s="87"/>
      <c r="B44" s="88">
        <f t="shared" si="2"/>
        <v>40</v>
      </c>
      <c r="C44" s="89" t="s">
        <v>86</v>
      </c>
      <c r="D44" s="90" t="s">
        <v>83</v>
      </c>
      <c r="E44" s="89" t="s">
        <v>25</v>
      </c>
      <c r="F44" s="90" t="s">
        <v>75</v>
      </c>
      <c r="G44" s="43">
        <v>30000</v>
      </c>
      <c r="H44" s="43">
        <v>30000</v>
      </c>
      <c r="I44" s="43">
        <v>861</v>
      </c>
      <c r="J44" s="43">
        <v>0</v>
      </c>
      <c r="K44" s="43">
        <v>912</v>
      </c>
      <c r="L44" s="43">
        <v>0</v>
      </c>
      <c r="M44" s="44">
        <f t="shared" si="0"/>
        <v>1773</v>
      </c>
      <c r="N44" s="44">
        <f t="shared" si="1"/>
        <v>28227</v>
      </c>
      <c r="O44" s="88" t="s">
        <v>23</v>
      </c>
    </row>
    <row r="45" spans="1:15" s="91" customFormat="1" ht="20.25" customHeight="1" x14ac:dyDescent="0.25">
      <c r="A45" s="87"/>
      <c r="B45" s="88">
        <f t="shared" si="2"/>
        <v>41</v>
      </c>
      <c r="C45" s="89" t="s">
        <v>87</v>
      </c>
      <c r="D45" s="90" t="s">
        <v>88</v>
      </c>
      <c r="E45" s="89" t="s">
        <v>25</v>
      </c>
      <c r="F45" s="90" t="s">
        <v>89</v>
      </c>
      <c r="G45" s="43">
        <v>33500</v>
      </c>
      <c r="H45" s="43">
        <v>33500</v>
      </c>
      <c r="I45" s="43">
        <v>961.45</v>
      </c>
      <c r="J45" s="43">
        <v>0</v>
      </c>
      <c r="K45" s="43">
        <v>1018.4</v>
      </c>
      <c r="L45" s="43">
        <v>14162.53</v>
      </c>
      <c r="M45" s="44">
        <f t="shared" si="0"/>
        <v>16142.380000000001</v>
      </c>
      <c r="N45" s="44">
        <f t="shared" si="1"/>
        <v>17357.62</v>
      </c>
      <c r="O45" s="88" t="s">
        <v>19</v>
      </c>
    </row>
    <row r="46" spans="1:15" s="91" customFormat="1" ht="21" customHeight="1" x14ac:dyDescent="0.25">
      <c r="A46" s="87"/>
      <c r="B46" s="88">
        <f t="shared" si="2"/>
        <v>42</v>
      </c>
      <c r="C46" s="89" t="s">
        <v>90</v>
      </c>
      <c r="D46" s="90" t="s">
        <v>88</v>
      </c>
      <c r="E46" s="89" t="s">
        <v>25</v>
      </c>
      <c r="F46" s="90" t="s">
        <v>89</v>
      </c>
      <c r="G46" s="43">
        <v>33500</v>
      </c>
      <c r="H46" s="43">
        <v>33500</v>
      </c>
      <c r="I46" s="43">
        <v>961.45</v>
      </c>
      <c r="J46" s="43">
        <v>0</v>
      </c>
      <c r="K46" s="43">
        <v>1018.4</v>
      </c>
      <c r="L46" s="43">
        <v>7164.57</v>
      </c>
      <c r="M46" s="44">
        <f>+L46+K46+J46+I46</f>
        <v>9144.42</v>
      </c>
      <c r="N46" s="44">
        <f t="shared" si="1"/>
        <v>24355.58</v>
      </c>
      <c r="O46" s="88" t="s">
        <v>19</v>
      </c>
    </row>
    <row r="47" spans="1:15" s="91" customFormat="1" ht="22.5" x14ac:dyDescent="0.25">
      <c r="A47" s="87"/>
      <c r="B47" s="88">
        <f t="shared" si="2"/>
        <v>43</v>
      </c>
      <c r="C47" s="89" t="s">
        <v>91</v>
      </c>
      <c r="D47" s="90" t="s">
        <v>88</v>
      </c>
      <c r="E47" s="89" t="s">
        <v>25</v>
      </c>
      <c r="F47" s="90" t="s">
        <v>89</v>
      </c>
      <c r="G47" s="43">
        <v>40000</v>
      </c>
      <c r="H47" s="43">
        <v>40000</v>
      </c>
      <c r="I47" s="43">
        <v>1148</v>
      </c>
      <c r="J47" s="43">
        <v>0</v>
      </c>
      <c r="K47" s="43">
        <v>1216</v>
      </c>
      <c r="L47" s="43">
        <f>1663.42+31.21+3430.92</f>
        <v>5125.55</v>
      </c>
      <c r="M47" s="44">
        <f t="shared" si="0"/>
        <v>7489.55</v>
      </c>
      <c r="N47" s="44">
        <f t="shared" si="1"/>
        <v>32510.45</v>
      </c>
      <c r="O47" s="88" t="s">
        <v>19</v>
      </c>
    </row>
    <row r="48" spans="1:15" s="91" customFormat="1" x14ac:dyDescent="0.25">
      <c r="A48" s="87"/>
      <c r="B48" s="88">
        <f t="shared" si="2"/>
        <v>44</v>
      </c>
      <c r="C48" s="89" t="s">
        <v>92</v>
      </c>
      <c r="D48" s="90" t="s">
        <v>59</v>
      </c>
      <c r="E48" s="89" t="s">
        <v>21</v>
      </c>
      <c r="F48" s="90" t="s">
        <v>75</v>
      </c>
      <c r="G48" s="43">
        <v>30000</v>
      </c>
      <c r="H48" s="43">
        <v>30000</v>
      </c>
      <c r="I48" s="43">
        <v>861</v>
      </c>
      <c r="J48" s="43">
        <v>0</v>
      </c>
      <c r="K48" s="43">
        <v>912</v>
      </c>
      <c r="L48" s="43">
        <v>31.21</v>
      </c>
      <c r="M48" s="44">
        <f t="shared" si="0"/>
        <v>1804.21</v>
      </c>
      <c r="N48" s="44">
        <f t="shared" si="1"/>
        <v>28195.79</v>
      </c>
      <c r="O48" s="88" t="s">
        <v>23</v>
      </c>
    </row>
    <row r="49" spans="1:15" s="91" customFormat="1" x14ac:dyDescent="0.25">
      <c r="A49" s="87"/>
      <c r="B49" s="88">
        <v>45</v>
      </c>
      <c r="C49" s="89" t="s">
        <v>620</v>
      </c>
      <c r="D49" s="90" t="s">
        <v>59</v>
      </c>
      <c r="E49" s="89" t="s">
        <v>25</v>
      </c>
      <c r="F49" s="90" t="s">
        <v>622</v>
      </c>
      <c r="G49" s="43">
        <v>15000</v>
      </c>
      <c r="H49" s="43">
        <v>15000</v>
      </c>
      <c r="I49" s="43">
        <v>430.5</v>
      </c>
      <c r="J49" s="43">
        <v>0</v>
      </c>
      <c r="K49" s="43">
        <v>456</v>
      </c>
      <c r="L49" s="43">
        <v>0</v>
      </c>
      <c r="M49" s="44">
        <f t="shared" si="0"/>
        <v>886.5</v>
      </c>
      <c r="N49" s="44">
        <f t="shared" si="1"/>
        <v>14113.5</v>
      </c>
      <c r="O49" s="88" t="s">
        <v>19</v>
      </c>
    </row>
    <row r="50" spans="1:15" s="91" customFormat="1" x14ac:dyDescent="0.25">
      <c r="A50" s="87"/>
      <c r="B50" s="88">
        <v>46</v>
      </c>
      <c r="C50" s="89" t="s">
        <v>621</v>
      </c>
      <c r="D50" s="90" t="s">
        <v>59</v>
      </c>
      <c r="E50" s="89" t="s">
        <v>25</v>
      </c>
      <c r="F50" s="90" t="s">
        <v>75</v>
      </c>
      <c r="G50" s="43">
        <v>19717.5</v>
      </c>
      <c r="H50" s="43">
        <v>19717.5</v>
      </c>
      <c r="I50" s="43">
        <v>565.89</v>
      </c>
      <c r="J50" s="43">
        <v>0</v>
      </c>
      <c r="K50" s="43">
        <v>599.41</v>
      </c>
      <c r="L50" s="43">
        <v>0</v>
      </c>
      <c r="M50" s="44">
        <f t="shared" si="0"/>
        <v>1165.3</v>
      </c>
      <c r="N50" s="44">
        <f t="shared" si="1"/>
        <v>18552.2</v>
      </c>
      <c r="O50" s="88" t="s">
        <v>23</v>
      </c>
    </row>
    <row r="51" spans="1:15" s="91" customFormat="1" x14ac:dyDescent="0.25">
      <c r="A51" s="87"/>
      <c r="B51" s="88">
        <v>47</v>
      </c>
      <c r="C51" s="89" t="s">
        <v>93</v>
      </c>
      <c r="D51" s="90" t="s">
        <v>59</v>
      </c>
      <c r="E51" s="89" t="s">
        <v>25</v>
      </c>
      <c r="F51" s="90" t="s">
        <v>28</v>
      </c>
      <c r="G51" s="43">
        <v>20000</v>
      </c>
      <c r="H51" s="43">
        <v>20000</v>
      </c>
      <c r="I51" s="43">
        <v>574</v>
      </c>
      <c r="J51" s="43">
        <v>0</v>
      </c>
      <c r="K51" s="43">
        <v>608</v>
      </c>
      <c r="L51" s="43">
        <f>831.71+31.21+1000+6518.26+2637.48</f>
        <v>11018.66</v>
      </c>
      <c r="M51" s="44">
        <f>+L51+K51+J51+I51</f>
        <v>12200.66</v>
      </c>
      <c r="N51" s="44">
        <f>+G51-M51</f>
        <v>7799.34</v>
      </c>
      <c r="O51" s="88" t="s">
        <v>23</v>
      </c>
    </row>
    <row r="52" spans="1:15" s="91" customFormat="1" x14ac:dyDescent="0.25">
      <c r="A52" s="87"/>
      <c r="B52" s="88">
        <f t="shared" si="2"/>
        <v>48</v>
      </c>
      <c r="C52" s="89" t="s">
        <v>94</v>
      </c>
      <c r="D52" s="90" t="s">
        <v>59</v>
      </c>
      <c r="E52" s="89" t="s">
        <v>21</v>
      </c>
      <c r="F52" s="90" t="s">
        <v>95</v>
      </c>
      <c r="G52" s="43">
        <v>40000</v>
      </c>
      <c r="H52" s="43">
        <v>40000</v>
      </c>
      <c r="I52" s="43">
        <v>1148</v>
      </c>
      <c r="J52" s="43">
        <v>442.65</v>
      </c>
      <c r="K52" s="43">
        <v>1216</v>
      </c>
      <c r="L52" s="43">
        <v>2127.0700000000002</v>
      </c>
      <c r="M52" s="44">
        <f t="shared" si="0"/>
        <v>4933.72</v>
      </c>
      <c r="N52" s="44">
        <f t="shared" si="1"/>
        <v>35066.28</v>
      </c>
      <c r="O52" s="88" t="s">
        <v>23</v>
      </c>
    </row>
    <row r="53" spans="1:15" s="91" customFormat="1" x14ac:dyDescent="0.25">
      <c r="A53" s="87"/>
      <c r="B53" s="88">
        <f t="shared" si="2"/>
        <v>49</v>
      </c>
      <c r="C53" s="89" t="s">
        <v>631</v>
      </c>
      <c r="D53" s="90" t="s">
        <v>59</v>
      </c>
      <c r="E53" s="89" t="s">
        <v>25</v>
      </c>
      <c r="F53" s="90" t="s">
        <v>62</v>
      </c>
      <c r="G53" s="43">
        <v>15000</v>
      </c>
      <c r="H53" s="43">
        <v>15000</v>
      </c>
      <c r="I53" s="43">
        <v>430.5</v>
      </c>
      <c r="J53" s="43">
        <v>0</v>
      </c>
      <c r="K53" s="43">
        <v>456</v>
      </c>
      <c r="L53" s="43">
        <v>31.21</v>
      </c>
      <c r="M53" s="44">
        <f t="shared" si="0"/>
        <v>917.71</v>
      </c>
      <c r="N53" s="44">
        <f t="shared" si="1"/>
        <v>14082.29</v>
      </c>
      <c r="O53" s="88" t="s">
        <v>19</v>
      </c>
    </row>
    <row r="54" spans="1:15" s="91" customFormat="1" x14ac:dyDescent="0.25">
      <c r="A54" s="87"/>
      <c r="B54" s="88">
        <f t="shared" si="2"/>
        <v>50</v>
      </c>
      <c r="C54" s="89" t="s">
        <v>97</v>
      </c>
      <c r="D54" s="90" t="s">
        <v>59</v>
      </c>
      <c r="E54" s="89" t="s">
        <v>25</v>
      </c>
      <c r="F54" s="90" t="s">
        <v>62</v>
      </c>
      <c r="G54" s="43">
        <v>15000</v>
      </c>
      <c r="H54" s="43">
        <v>15000</v>
      </c>
      <c r="I54" s="43">
        <v>430.5</v>
      </c>
      <c r="J54" s="43">
        <v>0</v>
      </c>
      <c r="K54" s="43">
        <v>456</v>
      </c>
      <c r="L54" s="43">
        <f>415.86+31.21+500+2636.79</f>
        <v>3583.8599999999997</v>
      </c>
      <c r="M54" s="44">
        <f t="shared" si="0"/>
        <v>4470.3599999999997</v>
      </c>
      <c r="N54" s="44">
        <f t="shared" si="1"/>
        <v>10529.64</v>
      </c>
      <c r="O54" s="88" t="s">
        <v>23</v>
      </c>
    </row>
    <row r="55" spans="1:15" s="39" customFormat="1" x14ac:dyDescent="0.25">
      <c r="A55" s="12"/>
      <c r="B55" s="81">
        <f t="shared" si="2"/>
        <v>51</v>
      </c>
      <c r="C55" s="82" t="s">
        <v>98</v>
      </c>
      <c r="D55" s="83" t="s">
        <v>59</v>
      </c>
      <c r="E55" s="82" t="s">
        <v>25</v>
      </c>
      <c r="F55" s="83" t="s">
        <v>62</v>
      </c>
      <c r="G55" s="84">
        <v>15000</v>
      </c>
      <c r="H55" s="84">
        <v>15000</v>
      </c>
      <c r="I55" s="84">
        <v>430.5</v>
      </c>
      <c r="J55" s="84">
        <v>0</v>
      </c>
      <c r="K55" s="84">
        <v>456</v>
      </c>
      <c r="L55" s="84">
        <v>3578.38</v>
      </c>
      <c r="M55" s="85">
        <f t="shared" si="0"/>
        <v>4464.88</v>
      </c>
      <c r="N55" s="85">
        <f t="shared" si="1"/>
        <v>10535.119999999999</v>
      </c>
      <c r="O55" s="81" t="s">
        <v>23</v>
      </c>
    </row>
    <row r="56" spans="1:15" s="91" customFormat="1" ht="18" customHeight="1" x14ac:dyDescent="0.25">
      <c r="A56" s="87"/>
      <c r="B56" s="88">
        <f t="shared" si="2"/>
        <v>52</v>
      </c>
      <c r="C56" s="89" t="s">
        <v>99</v>
      </c>
      <c r="D56" s="90" t="s">
        <v>59</v>
      </c>
      <c r="E56" s="89" t="s">
        <v>21</v>
      </c>
      <c r="F56" s="90" t="s">
        <v>75</v>
      </c>
      <c r="G56" s="43">
        <v>22000</v>
      </c>
      <c r="H56" s="43">
        <v>22000</v>
      </c>
      <c r="I56" s="43">
        <v>631.4</v>
      </c>
      <c r="J56" s="43">
        <v>0</v>
      </c>
      <c r="K56" s="43">
        <v>668.8</v>
      </c>
      <c r="L56" s="43">
        <f>4479.29+31.21+1000+6854.84+2637.48</f>
        <v>15002.82</v>
      </c>
      <c r="M56" s="44">
        <f t="shared" si="0"/>
        <v>16303.02</v>
      </c>
      <c r="N56" s="44">
        <f t="shared" si="1"/>
        <v>5696.98</v>
      </c>
      <c r="O56" s="88" t="s">
        <v>23</v>
      </c>
    </row>
    <row r="57" spans="1:15" s="91" customFormat="1" ht="19.5" customHeight="1" x14ac:dyDescent="0.25">
      <c r="A57" s="87"/>
      <c r="B57" s="88">
        <f t="shared" si="2"/>
        <v>53</v>
      </c>
      <c r="C57" s="89" t="s">
        <v>100</v>
      </c>
      <c r="D57" s="90" t="s">
        <v>59</v>
      </c>
      <c r="E57" s="89" t="s">
        <v>25</v>
      </c>
      <c r="F57" s="90" t="s">
        <v>62</v>
      </c>
      <c r="G57" s="43">
        <v>15000</v>
      </c>
      <c r="H57" s="43">
        <v>15000</v>
      </c>
      <c r="I57" s="43">
        <v>430.5</v>
      </c>
      <c r="J57" s="43">
        <v>0</v>
      </c>
      <c r="K57" s="43">
        <v>456</v>
      </c>
      <c r="L57" s="43">
        <f>1031.21+3672.23</f>
        <v>4703.4400000000005</v>
      </c>
      <c r="M57" s="44">
        <f t="shared" si="0"/>
        <v>5589.9400000000005</v>
      </c>
      <c r="N57" s="44">
        <f t="shared" si="1"/>
        <v>9410.06</v>
      </c>
      <c r="O57" s="88" t="s">
        <v>23</v>
      </c>
    </row>
    <row r="58" spans="1:15" s="91" customFormat="1" x14ac:dyDescent="0.25">
      <c r="A58" s="87"/>
      <c r="B58" s="88">
        <f t="shared" si="2"/>
        <v>54</v>
      </c>
      <c r="C58" s="89" t="s">
        <v>101</v>
      </c>
      <c r="D58" s="90" t="s">
        <v>59</v>
      </c>
      <c r="E58" s="89" t="s">
        <v>25</v>
      </c>
      <c r="F58" s="90" t="s">
        <v>62</v>
      </c>
      <c r="G58" s="43">
        <v>15000</v>
      </c>
      <c r="H58" s="43">
        <v>15000</v>
      </c>
      <c r="I58" s="43">
        <v>430.5</v>
      </c>
      <c r="J58" s="43">
        <v>0</v>
      </c>
      <c r="K58" s="43">
        <v>456</v>
      </c>
      <c r="L58" s="43">
        <f>2885.79+31.21+300+3515.68</f>
        <v>6732.68</v>
      </c>
      <c r="M58" s="44">
        <f>+L58+K58+J58+I58</f>
        <v>7619.18</v>
      </c>
      <c r="N58" s="44">
        <f>+G58-M58</f>
        <v>7380.82</v>
      </c>
      <c r="O58" s="88" t="s">
        <v>23</v>
      </c>
    </row>
    <row r="59" spans="1:15" s="39" customFormat="1" x14ac:dyDescent="0.25">
      <c r="A59" s="12"/>
      <c r="B59" s="81">
        <f t="shared" si="2"/>
        <v>55</v>
      </c>
      <c r="C59" s="82" t="s">
        <v>102</v>
      </c>
      <c r="D59" s="83" t="s">
        <v>59</v>
      </c>
      <c r="E59" s="82" t="s">
        <v>25</v>
      </c>
      <c r="F59" s="83" t="s">
        <v>62</v>
      </c>
      <c r="G59" s="84">
        <v>15000</v>
      </c>
      <c r="H59" s="84">
        <v>15000</v>
      </c>
      <c r="I59" s="84">
        <v>430.5</v>
      </c>
      <c r="J59" s="84">
        <v>0</v>
      </c>
      <c r="K59" s="84">
        <v>456</v>
      </c>
      <c r="L59" s="84">
        <v>1031.21</v>
      </c>
      <c r="M59" s="85">
        <f t="shared" si="0"/>
        <v>1917.71</v>
      </c>
      <c r="N59" s="85">
        <f t="shared" si="1"/>
        <v>13082.29</v>
      </c>
      <c r="O59" s="81" t="s">
        <v>23</v>
      </c>
    </row>
    <row r="60" spans="1:15" s="91" customFormat="1" x14ac:dyDescent="0.25">
      <c r="A60" s="87"/>
      <c r="B60" s="88">
        <f t="shared" si="2"/>
        <v>56</v>
      </c>
      <c r="C60" s="89" t="s">
        <v>103</v>
      </c>
      <c r="D60" s="90" t="s">
        <v>59</v>
      </c>
      <c r="E60" s="89" t="s">
        <v>25</v>
      </c>
      <c r="F60" s="90" t="s">
        <v>62</v>
      </c>
      <c r="G60" s="43">
        <v>11000</v>
      </c>
      <c r="H60" s="43">
        <v>11000</v>
      </c>
      <c r="I60" s="43">
        <v>315.7</v>
      </c>
      <c r="J60" s="43">
        <v>0</v>
      </c>
      <c r="K60" s="43">
        <v>334.4</v>
      </c>
      <c r="L60" s="43">
        <v>31.21</v>
      </c>
      <c r="M60" s="44">
        <f t="shared" si="0"/>
        <v>681.31</v>
      </c>
      <c r="N60" s="44">
        <f t="shared" si="1"/>
        <v>10318.69</v>
      </c>
      <c r="O60" s="88" t="s">
        <v>23</v>
      </c>
    </row>
    <row r="61" spans="1:15" s="91" customFormat="1" x14ac:dyDescent="0.25">
      <c r="A61" s="87"/>
      <c r="B61" s="88">
        <f t="shared" si="2"/>
        <v>57</v>
      </c>
      <c r="C61" s="89" t="s">
        <v>104</v>
      </c>
      <c r="D61" s="90" t="s">
        <v>59</v>
      </c>
      <c r="E61" s="89" t="s">
        <v>25</v>
      </c>
      <c r="F61" s="90" t="s">
        <v>62</v>
      </c>
      <c r="G61" s="43">
        <v>15000</v>
      </c>
      <c r="H61" s="43">
        <v>15000</v>
      </c>
      <c r="I61" s="43">
        <v>430.5</v>
      </c>
      <c r="J61" s="43">
        <v>0</v>
      </c>
      <c r="K61" s="43">
        <v>456</v>
      </c>
      <c r="L61" s="43">
        <v>5177.12</v>
      </c>
      <c r="M61" s="44">
        <f t="shared" si="0"/>
        <v>6063.62</v>
      </c>
      <c r="N61" s="44">
        <f t="shared" si="1"/>
        <v>8936.380000000001</v>
      </c>
      <c r="O61" s="88" t="s">
        <v>23</v>
      </c>
    </row>
    <row r="62" spans="1:15" s="91" customFormat="1" x14ac:dyDescent="0.25">
      <c r="A62" s="87"/>
      <c r="B62" s="88">
        <f t="shared" si="2"/>
        <v>58</v>
      </c>
      <c r="C62" s="89" t="s">
        <v>105</v>
      </c>
      <c r="D62" s="90" t="s">
        <v>59</v>
      </c>
      <c r="E62" s="89" t="s">
        <v>25</v>
      </c>
      <c r="F62" s="90" t="s">
        <v>106</v>
      </c>
      <c r="G62" s="43">
        <v>13000</v>
      </c>
      <c r="H62" s="43">
        <v>13000</v>
      </c>
      <c r="I62" s="43">
        <v>373.1</v>
      </c>
      <c r="J62" s="43">
        <v>0</v>
      </c>
      <c r="K62" s="43">
        <v>395.2</v>
      </c>
      <c r="L62" s="43">
        <v>31.21</v>
      </c>
      <c r="M62" s="44">
        <f t="shared" si="0"/>
        <v>799.51</v>
      </c>
      <c r="N62" s="44">
        <f t="shared" si="1"/>
        <v>12200.49</v>
      </c>
      <c r="O62" s="88" t="s">
        <v>19</v>
      </c>
    </row>
    <row r="63" spans="1:15" s="91" customFormat="1" x14ac:dyDescent="0.25">
      <c r="A63" s="87"/>
      <c r="B63" s="88">
        <f t="shared" si="2"/>
        <v>59</v>
      </c>
      <c r="C63" s="89" t="s">
        <v>107</v>
      </c>
      <c r="D63" s="90" t="s">
        <v>59</v>
      </c>
      <c r="E63" s="89" t="s">
        <v>25</v>
      </c>
      <c r="F63" s="90" t="s">
        <v>62</v>
      </c>
      <c r="G63" s="43">
        <v>15000</v>
      </c>
      <c r="H63" s="43">
        <v>15000</v>
      </c>
      <c r="I63" s="43">
        <v>430.5</v>
      </c>
      <c r="J63" s="43">
        <v>0</v>
      </c>
      <c r="K63" s="43">
        <v>456</v>
      </c>
      <c r="L63" s="43">
        <f>1031.21+7031.41</f>
        <v>8062.62</v>
      </c>
      <c r="M63" s="44">
        <f t="shared" si="0"/>
        <v>8949.119999999999</v>
      </c>
      <c r="N63" s="44">
        <f t="shared" si="1"/>
        <v>6050.880000000001</v>
      </c>
      <c r="O63" s="88" t="s">
        <v>23</v>
      </c>
    </row>
    <row r="64" spans="1:15" s="91" customFormat="1" x14ac:dyDescent="0.25">
      <c r="A64" s="87"/>
      <c r="B64" s="88">
        <f t="shared" si="2"/>
        <v>60</v>
      </c>
      <c r="C64" s="89" t="s">
        <v>108</v>
      </c>
      <c r="D64" s="90" t="s">
        <v>59</v>
      </c>
      <c r="E64" s="89" t="s">
        <v>25</v>
      </c>
      <c r="F64" s="90" t="s">
        <v>106</v>
      </c>
      <c r="G64" s="43">
        <v>10000</v>
      </c>
      <c r="H64" s="43">
        <v>10000</v>
      </c>
      <c r="I64" s="43">
        <v>287</v>
      </c>
      <c r="J64" s="43">
        <v>0</v>
      </c>
      <c r="K64" s="43">
        <v>304</v>
      </c>
      <c r="L64" s="43">
        <v>527.21</v>
      </c>
      <c r="M64" s="44">
        <f t="shared" si="0"/>
        <v>1118.21</v>
      </c>
      <c r="N64" s="44">
        <f t="shared" si="1"/>
        <v>8881.7900000000009</v>
      </c>
      <c r="O64" s="88" t="s">
        <v>19</v>
      </c>
    </row>
    <row r="65" spans="1:15" s="91" customFormat="1" x14ac:dyDescent="0.25">
      <c r="A65" s="87"/>
      <c r="B65" s="88">
        <f>B64+1</f>
        <v>61</v>
      </c>
      <c r="C65" s="89" t="s">
        <v>109</v>
      </c>
      <c r="D65" s="90" t="s">
        <v>59</v>
      </c>
      <c r="E65" s="89" t="s">
        <v>25</v>
      </c>
      <c r="F65" s="90" t="s">
        <v>62</v>
      </c>
      <c r="G65" s="43">
        <v>15000</v>
      </c>
      <c r="H65" s="43">
        <v>15000</v>
      </c>
      <c r="I65" s="43">
        <v>430.5</v>
      </c>
      <c r="J65" s="43">
        <v>0</v>
      </c>
      <c r="K65" s="43">
        <v>456</v>
      </c>
      <c r="L65" s="43">
        <f>31.21+500+3515.7+2197.9</f>
        <v>6244.8099999999995</v>
      </c>
      <c r="M65" s="44">
        <f t="shared" si="0"/>
        <v>7131.3099999999995</v>
      </c>
      <c r="N65" s="44">
        <f t="shared" si="1"/>
        <v>7868.6900000000005</v>
      </c>
      <c r="O65" s="88" t="s">
        <v>23</v>
      </c>
    </row>
    <row r="66" spans="1:15" s="91" customFormat="1" x14ac:dyDescent="0.25">
      <c r="A66" s="87"/>
      <c r="B66" s="88">
        <f t="shared" si="2"/>
        <v>62</v>
      </c>
      <c r="C66" s="89" t="s">
        <v>110</v>
      </c>
      <c r="D66" s="90" t="s">
        <v>59</v>
      </c>
      <c r="E66" s="89" t="s">
        <v>25</v>
      </c>
      <c r="F66" s="90" t="s">
        <v>106</v>
      </c>
      <c r="G66" s="43">
        <v>13000</v>
      </c>
      <c r="H66" s="43">
        <v>13000</v>
      </c>
      <c r="I66" s="43">
        <v>373.1</v>
      </c>
      <c r="J66" s="43">
        <v>0</v>
      </c>
      <c r="K66" s="43">
        <v>395.2</v>
      </c>
      <c r="L66" s="43">
        <v>29.21</v>
      </c>
      <c r="M66" s="44">
        <f t="shared" si="0"/>
        <v>797.51</v>
      </c>
      <c r="N66" s="44">
        <f t="shared" si="1"/>
        <v>12202.49</v>
      </c>
      <c r="O66" s="88" t="s">
        <v>19</v>
      </c>
    </row>
    <row r="67" spans="1:15" s="91" customFormat="1" x14ac:dyDescent="0.25">
      <c r="A67" s="87"/>
      <c r="B67" s="88">
        <f t="shared" si="2"/>
        <v>63</v>
      </c>
      <c r="C67" s="89" t="s">
        <v>111</v>
      </c>
      <c r="D67" s="90" t="s">
        <v>59</v>
      </c>
      <c r="E67" s="89" t="s">
        <v>25</v>
      </c>
      <c r="F67" s="90" t="s">
        <v>106</v>
      </c>
      <c r="G67" s="43">
        <v>10000</v>
      </c>
      <c r="H67" s="43">
        <v>10000</v>
      </c>
      <c r="I67" s="43">
        <v>287</v>
      </c>
      <c r="J67" s="43">
        <v>0</v>
      </c>
      <c r="K67" s="43">
        <v>304</v>
      </c>
      <c r="L67" s="43">
        <v>169.21</v>
      </c>
      <c r="M67" s="44">
        <f t="shared" si="0"/>
        <v>760.21</v>
      </c>
      <c r="N67" s="44">
        <f t="shared" si="1"/>
        <v>9239.7900000000009</v>
      </c>
      <c r="O67" s="88" t="s">
        <v>19</v>
      </c>
    </row>
    <row r="68" spans="1:15" s="91" customFormat="1" x14ac:dyDescent="0.25">
      <c r="A68" s="87"/>
      <c r="B68" s="88">
        <f t="shared" si="2"/>
        <v>64</v>
      </c>
      <c r="C68" s="89" t="s">
        <v>112</v>
      </c>
      <c r="D68" s="90" t="s">
        <v>59</v>
      </c>
      <c r="E68" s="89" t="s">
        <v>25</v>
      </c>
      <c r="F68" s="90" t="s">
        <v>106</v>
      </c>
      <c r="G68" s="43">
        <v>13000</v>
      </c>
      <c r="H68" s="43">
        <v>13000</v>
      </c>
      <c r="I68" s="43">
        <v>373.1</v>
      </c>
      <c r="J68" s="43">
        <v>0</v>
      </c>
      <c r="K68" s="43">
        <v>395.2</v>
      </c>
      <c r="L68" s="43">
        <f>29.21+1000</f>
        <v>1029.21</v>
      </c>
      <c r="M68" s="44">
        <f t="shared" si="0"/>
        <v>1797.51</v>
      </c>
      <c r="N68" s="44">
        <f t="shared" si="1"/>
        <v>11202.49</v>
      </c>
      <c r="O68" s="88" t="s">
        <v>19</v>
      </c>
    </row>
    <row r="69" spans="1:15" s="91" customFormat="1" x14ac:dyDescent="0.25">
      <c r="A69" s="87"/>
      <c r="B69" s="88">
        <f t="shared" si="2"/>
        <v>65</v>
      </c>
      <c r="C69" s="89" t="s">
        <v>113</v>
      </c>
      <c r="D69" s="90" t="s">
        <v>59</v>
      </c>
      <c r="E69" s="89" t="s">
        <v>25</v>
      </c>
      <c r="F69" s="90" t="s">
        <v>106</v>
      </c>
      <c r="G69" s="43">
        <v>10000</v>
      </c>
      <c r="H69" s="43">
        <v>10000</v>
      </c>
      <c r="I69" s="43">
        <v>287</v>
      </c>
      <c r="J69" s="43">
        <v>0</v>
      </c>
      <c r="K69" s="43">
        <v>304</v>
      </c>
      <c r="L69" s="43">
        <v>17.770000000000003</v>
      </c>
      <c r="M69" s="44">
        <f t="shared" si="0"/>
        <v>608.77</v>
      </c>
      <c r="N69" s="44">
        <f t="shared" si="1"/>
        <v>9391.23</v>
      </c>
      <c r="O69" s="88" t="s">
        <v>19</v>
      </c>
    </row>
    <row r="70" spans="1:15" s="91" customFormat="1" x14ac:dyDescent="0.25">
      <c r="A70" s="87"/>
      <c r="B70" s="88">
        <f t="shared" si="2"/>
        <v>66</v>
      </c>
      <c r="C70" s="89" t="s">
        <v>114</v>
      </c>
      <c r="D70" s="90" t="s">
        <v>59</v>
      </c>
      <c r="E70" s="89" t="s">
        <v>25</v>
      </c>
      <c r="F70" s="90" t="s">
        <v>106</v>
      </c>
      <c r="G70" s="43">
        <v>13000</v>
      </c>
      <c r="H70" s="43">
        <v>13000</v>
      </c>
      <c r="I70" s="43">
        <v>373.1</v>
      </c>
      <c r="J70" s="43">
        <v>0</v>
      </c>
      <c r="K70" s="43">
        <v>395.2</v>
      </c>
      <c r="L70" s="43">
        <v>3467</v>
      </c>
      <c r="M70" s="44">
        <f t="shared" si="0"/>
        <v>4235.3</v>
      </c>
      <c r="N70" s="44">
        <f t="shared" si="1"/>
        <v>8764.7000000000007</v>
      </c>
      <c r="O70" s="88" t="s">
        <v>19</v>
      </c>
    </row>
    <row r="71" spans="1:15" s="91" customFormat="1" x14ac:dyDescent="0.25">
      <c r="A71" s="87"/>
      <c r="B71" s="88">
        <f t="shared" si="2"/>
        <v>67</v>
      </c>
      <c r="C71" s="89" t="s">
        <v>115</v>
      </c>
      <c r="D71" s="90" t="s">
        <v>59</v>
      </c>
      <c r="E71" s="89" t="s">
        <v>25</v>
      </c>
      <c r="F71" s="90" t="s">
        <v>62</v>
      </c>
      <c r="G71" s="43">
        <v>15000</v>
      </c>
      <c r="H71" s="43">
        <v>15000</v>
      </c>
      <c r="I71" s="43">
        <v>430.5</v>
      </c>
      <c r="J71" s="43">
        <v>0</v>
      </c>
      <c r="K71" s="43">
        <v>456</v>
      </c>
      <c r="L71" s="43">
        <v>2756.08</v>
      </c>
      <c r="M71" s="44">
        <f t="shared" si="0"/>
        <v>3642.58</v>
      </c>
      <c r="N71" s="44">
        <f t="shared" si="1"/>
        <v>11357.42</v>
      </c>
      <c r="O71" s="88" t="s">
        <v>23</v>
      </c>
    </row>
    <row r="72" spans="1:15" s="91" customFormat="1" x14ac:dyDescent="0.25">
      <c r="A72" s="87"/>
      <c r="B72" s="88">
        <f t="shared" si="2"/>
        <v>68</v>
      </c>
      <c r="C72" s="89" t="s">
        <v>116</v>
      </c>
      <c r="D72" s="90" t="s">
        <v>59</v>
      </c>
      <c r="E72" s="89" t="s">
        <v>25</v>
      </c>
      <c r="F72" s="90" t="s">
        <v>106</v>
      </c>
      <c r="G72" s="43">
        <v>10000</v>
      </c>
      <c r="H72" s="43">
        <v>10000</v>
      </c>
      <c r="I72" s="43">
        <v>287</v>
      </c>
      <c r="J72" s="43">
        <v>0</v>
      </c>
      <c r="K72" s="43">
        <v>304</v>
      </c>
      <c r="L72" s="43">
        <v>0</v>
      </c>
      <c r="M72" s="44">
        <f t="shared" si="0"/>
        <v>591</v>
      </c>
      <c r="N72" s="44">
        <f t="shared" si="1"/>
        <v>9409</v>
      </c>
      <c r="O72" s="88" t="s">
        <v>19</v>
      </c>
    </row>
    <row r="73" spans="1:15" s="91" customFormat="1" x14ac:dyDescent="0.25">
      <c r="A73" s="87"/>
      <c r="B73" s="88">
        <f t="shared" si="2"/>
        <v>69</v>
      </c>
      <c r="C73" s="89" t="s">
        <v>117</v>
      </c>
      <c r="D73" s="90" t="s">
        <v>59</v>
      </c>
      <c r="E73" s="89" t="s">
        <v>25</v>
      </c>
      <c r="F73" s="90" t="s">
        <v>106</v>
      </c>
      <c r="G73" s="43">
        <v>13000</v>
      </c>
      <c r="H73" s="43">
        <v>13000</v>
      </c>
      <c r="I73" s="43">
        <v>373.1</v>
      </c>
      <c r="J73" s="43">
        <v>0</v>
      </c>
      <c r="K73" s="43">
        <v>395.2</v>
      </c>
      <c r="L73" s="43">
        <v>31.21</v>
      </c>
      <c r="M73" s="44">
        <f t="shared" ref="M73:M130" si="3">SUM(I73:L73)</f>
        <v>799.51</v>
      </c>
      <c r="N73" s="44">
        <f t="shared" ref="N73:N130" si="4">G73-M73</f>
        <v>12200.49</v>
      </c>
      <c r="O73" s="88" t="s">
        <v>19</v>
      </c>
    </row>
    <row r="74" spans="1:15" s="91" customFormat="1" x14ac:dyDescent="0.25">
      <c r="A74" s="87"/>
      <c r="B74" s="88">
        <f t="shared" ref="B74:B135" si="5">+B73+1</f>
        <v>70</v>
      </c>
      <c r="C74" s="89" t="s">
        <v>118</v>
      </c>
      <c r="D74" s="90" t="s">
        <v>59</v>
      </c>
      <c r="E74" s="89" t="s">
        <v>25</v>
      </c>
      <c r="F74" s="90" t="s">
        <v>62</v>
      </c>
      <c r="G74" s="43">
        <v>15000</v>
      </c>
      <c r="H74" s="43">
        <v>15000</v>
      </c>
      <c r="I74" s="43">
        <v>430.5</v>
      </c>
      <c r="J74" s="43">
        <v>0</v>
      </c>
      <c r="K74" s="43">
        <v>456</v>
      </c>
      <c r="L74" s="43">
        <v>2031.21</v>
      </c>
      <c r="M74" s="44">
        <f t="shared" si="3"/>
        <v>2917.71</v>
      </c>
      <c r="N74" s="44">
        <f t="shared" si="4"/>
        <v>12082.29</v>
      </c>
      <c r="O74" s="88" t="s">
        <v>23</v>
      </c>
    </row>
    <row r="75" spans="1:15" s="91" customFormat="1" ht="20.25" customHeight="1" x14ac:dyDescent="0.25">
      <c r="A75" s="87"/>
      <c r="B75" s="88">
        <f t="shared" si="5"/>
        <v>71</v>
      </c>
      <c r="C75" s="89" t="s">
        <v>119</v>
      </c>
      <c r="D75" s="90" t="s">
        <v>59</v>
      </c>
      <c r="E75" s="89" t="s">
        <v>25</v>
      </c>
      <c r="F75" s="90" t="s">
        <v>106</v>
      </c>
      <c r="G75" s="43">
        <v>10000</v>
      </c>
      <c r="H75" s="43">
        <v>10000</v>
      </c>
      <c r="I75" s="43">
        <v>287</v>
      </c>
      <c r="J75" s="43">
        <v>0</v>
      </c>
      <c r="K75" s="43">
        <v>304</v>
      </c>
      <c r="L75" s="43">
        <v>27.21</v>
      </c>
      <c r="M75" s="44">
        <f t="shared" si="3"/>
        <v>618.21</v>
      </c>
      <c r="N75" s="44">
        <f t="shared" si="4"/>
        <v>9381.7900000000009</v>
      </c>
      <c r="O75" s="88" t="s">
        <v>19</v>
      </c>
    </row>
    <row r="76" spans="1:15" s="91" customFormat="1" x14ac:dyDescent="0.25">
      <c r="A76" s="87"/>
      <c r="B76" s="88">
        <f t="shared" si="5"/>
        <v>72</v>
      </c>
      <c r="C76" s="89" t="s">
        <v>120</v>
      </c>
      <c r="D76" s="90" t="s">
        <v>59</v>
      </c>
      <c r="E76" s="89" t="s">
        <v>25</v>
      </c>
      <c r="F76" s="90" t="s">
        <v>106</v>
      </c>
      <c r="G76" s="43">
        <v>10000</v>
      </c>
      <c r="H76" s="43">
        <v>10000</v>
      </c>
      <c r="I76" s="43">
        <v>287</v>
      </c>
      <c r="J76" s="43">
        <v>0</v>
      </c>
      <c r="K76" s="43">
        <v>304</v>
      </c>
      <c r="L76" s="43">
        <v>31.21</v>
      </c>
      <c r="M76" s="44">
        <f t="shared" si="3"/>
        <v>622.21</v>
      </c>
      <c r="N76" s="44">
        <f t="shared" si="4"/>
        <v>9377.7900000000009</v>
      </c>
      <c r="O76" s="88" t="s">
        <v>19</v>
      </c>
    </row>
    <row r="77" spans="1:15" s="91" customFormat="1" x14ac:dyDescent="0.25">
      <c r="A77" s="87"/>
      <c r="B77" s="88">
        <f t="shared" si="5"/>
        <v>73</v>
      </c>
      <c r="C77" s="89" t="s">
        <v>121</v>
      </c>
      <c r="D77" s="90" t="s">
        <v>59</v>
      </c>
      <c r="E77" s="89" t="s">
        <v>25</v>
      </c>
      <c r="F77" s="90" t="s">
        <v>106</v>
      </c>
      <c r="G77" s="43">
        <v>10000</v>
      </c>
      <c r="H77" s="43">
        <v>10000</v>
      </c>
      <c r="I77" s="43">
        <v>287</v>
      </c>
      <c r="J77" s="43">
        <v>0</v>
      </c>
      <c r="K77" s="43">
        <v>304</v>
      </c>
      <c r="L77" s="43">
        <v>27.21</v>
      </c>
      <c r="M77" s="44">
        <f t="shared" si="3"/>
        <v>618.21</v>
      </c>
      <c r="N77" s="44">
        <f t="shared" si="4"/>
        <v>9381.7900000000009</v>
      </c>
      <c r="O77" s="88" t="s">
        <v>19</v>
      </c>
    </row>
    <row r="78" spans="1:15" s="91" customFormat="1" x14ac:dyDescent="0.25">
      <c r="A78" s="87"/>
      <c r="B78" s="88">
        <f t="shared" si="5"/>
        <v>74</v>
      </c>
      <c r="C78" s="89" t="s">
        <v>123</v>
      </c>
      <c r="D78" s="90" t="s">
        <v>59</v>
      </c>
      <c r="E78" s="89" t="s">
        <v>25</v>
      </c>
      <c r="F78" s="90" t="s">
        <v>106</v>
      </c>
      <c r="G78" s="43">
        <v>10000</v>
      </c>
      <c r="H78" s="43">
        <v>10000</v>
      </c>
      <c r="I78" s="43">
        <v>287</v>
      </c>
      <c r="J78" s="43">
        <v>0</v>
      </c>
      <c r="K78" s="43">
        <v>304</v>
      </c>
      <c r="L78" s="43">
        <v>0</v>
      </c>
      <c r="M78" s="44">
        <f t="shared" si="3"/>
        <v>591</v>
      </c>
      <c r="N78" s="44">
        <f t="shared" si="4"/>
        <v>9409</v>
      </c>
      <c r="O78" s="88" t="s">
        <v>19</v>
      </c>
    </row>
    <row r="79" spans="1:15" s="91" customFormat="1" x14ac:dyDescent="0.25">
      <c r="A79" s="87"/>
      <c r="B79" s="88">
        <f t="shared" si="5"/>
        <v>75</v>
      </c>
      <c r="C79" s="89" t="s">
        <v>124</v>
      </c>
      <c r="D79" s="90" t="s">
        <v>59</v>
      </c>
      <c r="E79" s="89" t="s">
        <v>25</v>
      </c>
      <c r="F79" s="90" t="s">
        <v>62</v>
      </c>
      <c r="G79" s="43">
        <v>10000</v>
      </c>
      <c r="H79" s="43">
        <v>10000</v>
      </c>
      <c r="I79" s="43">
        <v>287</v>
      </c>
      <c r="J79" s="43">
        <v>0</v>
      </c>
      <c r="K79" s="43">
        <v>304</v>
      </c>
      <c r="L79" s="43">
        <v>1066.8499999999999</v>
      </c>
      <c r="M79" s="44">
        <f t="shared" si="3"/>
        <v>1657.85</v>
      </c>
      <c r="N79" s="44">
        <f t="shared" si="4"/>
        <v>8342.15</v>
      </c>
      <c r="O79" s="88" t="s">
        <v>19</v>
      </c>
    </row>
    <row r="80" spans="1:15" s="91" customFormat="1" ht="21.75" customHeight="1" x14ac:dyDescent="0.25">
      <c r="A80" s="87"/>
      <c r="B80" s="88">
        <f t="shared" si="5"/>
        <v>76</v>
      </c>
      <c r="C80" s="89" t="s">
        <v>125</v>
      </c>
      <c r="D80" s="90" t="s">
        <v>59</v>
      </c>
      <c r="E80" s="89" t="s">
        <v>21</v>
      </c>
      <c r="F80" s="90" t="s">
        <v>126</v>
      </c>
      <c r="G80" s="43">
        <v>28350</v>
      </c>
      <c r="H80" s="43">
        <v>28350</v>
      </c>
      <c r="I80" s="43">
        <v>813.65</v>
      </c>
      <c r="J80" s="43">
        <v>0</v>
      </c>
      <c r="K80" s="43">
        <v>861.84</v>
      </c>
      <c r="L80" s="43">
        <v>7394.78</v>
      </c>
      <c r="M80" s="44">
        <f t="shared" si="3"/>
        <v>9070.27</v>
      </c>
      <c r="N80" s="44">
        <f t="shared" si="4"/>
        <v>19279.73</v>
      </c>
      <c r="O80" s="88" t="s">
        <v>23</v>
      </c>
    </row>
    <row r="81" spans="1:15" s="91" customFormat="1" x14ac:dyDescent="0.25">
      <c r="A81" s="87"/>
      <c r="B81" s="88">
        <f t="shared" si="5"/>
        <v>77</v>
      </c>
      <c r="C81" s="89" t="s">
        <v>127</v>
      </c>
      <c r="D81" s="90" t="s">
        <v>59</v>
      </c>
      <c r="E81" s="89" t="s">
        <v>25</v>
      </c>
      <c r="F81" s="90" t="s">
        <v>106</v>
      </c>
      <c r="G81" s="43">
        <v>10000</v>
      </c>
      <c r="H81" s="43">
        <v>10000</v>
      </c>
      <c r="I81" s="43">
        <v>287</v>
      </c>
      <c r="J81" s="43">
        <v>0</v>
      </c>
      <c r="K81" s="43">
        <v>304</v>
      </c>
      <c r="L81" s="43">
        <v>0</v>
      </c>
      <c r="M81" s="44">
        <f t="shared" si="3"/>
        <v>591</v>
      </c>
      <c r="N81" s="44">
        <f t="shared" si="4"/>
        <v>9409</v>
      </c>
      <c r="O81" s="88" t="s">
        <v>19</v>
      </c>
    </row>
    <row r="82" spans="1:15" s="91" customFormat="1" ht="18" customHeight="1" x14ac:dyDescent="0.25">
      <c r="A82" s="87"/>
      <c r="B82" s="88">
        <f t="shared" si="5"/>
        <v>78</v>
      </c>
      <c r="C82" s="89" t="s">
        <v>128</v>
      </c>
      <c r="D82" s="90" t="s">
        <v>59</v>
      </c>
      <c r="E82" s="89" t="s">
        <v>25</v>
      </c>
      <c r="F82" s="90" t="s">
        <v>62</v>
      </c>
      <c r="G82" s="43">
        <v>15000</v>
      </c>
      <c r="H82" s="43">
        <v>15000</v>
      </c>
      <c r="I82" s="43">
        <v>430.5</v>
      </c>
      <c r="J82" s="43">
        <v>0</v>
      </c>
      <c r="K82" s="43">
        <v>456</v>
      </c>
      <c r="L82" s="43">
        <v>4544.91</v>
      </c>
      <c r="M82" s="44">
        <f t="shared" si="3"/>
        <v>5431.41</v>
      </c>
      <c r="N82" s="44">
        <f t="shared" si="4"/>
        <v>9568.59</v>
      </c>
      <c r="O82" s="88" t="s">
        <v>23</v>
      </c>
    </row>
    <row r="83" spans="1:15" s="91" customFormat="1" ht="18.75" customHeight="1" x14ac:dyDescent="0.25">
      <c r="A83" s="87"/>
      <c r="B83" s="88">
        <f t="shared" si="5"/>
        <v>79</v>
      </c>
      <c r="C83" s="89" t="s">
        <v>129</v>
      </c>
      <c r="D83" s="90" t="s">
        <v>59</v>
      </c>
      <c r="E83" s="89" t="s">
        <v>25</v>
      </c>
      <c r="F83" s="90" t="s">
        <v>106</v>
      </c>
      <c r="G83" s="43">
        <v>13000</v>
      </c>
      <c r="H83" s="43">
        <v>13000</v>
      </c>
      <c r="I83" s="43">
        <v>373.1</v>
      </c>
      <c r="J83" s="43">
        <v>0</v>
      </c>
      <c r="K83" s="43">
        <v>395.2</v>
      </c>
      <c r="L83" s="43">
        <v>1746.67</v>
      </c>
      <c r="M83" s="44">
        <f t="shared" si="3"/>
        <v>2514.9700000000003</v>
      </c>
      <c r="N83" s="44">
        <f t="shared" si="4"/>
        <v>10485.029999999999</v>
      </c>
      <c r="O83" s="88" t="s">
        <v>19</v>
      </c>
    </row>
    <row r="84" spans="1:15" s="91" customFormat="1" x14ac:dyDescent="0.25">
      <c r="A84" s="87"/>
      <c r="B84" s="88">
        <f t="shared" si="5"/>
        <v>80</v>
      </c>
      <c r="C84" s="89" t="s">
        <v>130</v>
      </c>
      <c r="D84" s="90" t="s">
        <v>59</v>
      </c>
      <c r="E84" s="89" t="s">
        <v>25</v>
      </c>
      <c r="F84" s="90" t="s">
        <v>122</v>
      </c>
      <c r="G84" s="43">
        <v>38967</v>
      </c>
      <c r="H84" s="43">
        <v>38967</v>
      </c>
      <c r="I84" s="43">
        <v>1118.3499999999999</v>
      </c>
      <c r="J84" s="43">
        <v>296.86</v>
      </c>
      <c r="K84" s="43">
        <v>1184.5999999999999</v>
      </c>
      <c r="L84" s="43">
        <v>9567.75</v>
      </c>
      <c r="M84" s="44">
        <f t="shared" si="3"/>
        <v>12167.56</v>
      </c>
      <c r="N84" s="44">
        <f t="shared" si="4"/>
        <v>26799.440000000002</v>
      </c>
      <c r="O84" s="88" t="s">
        <v>19</v>
      </c>
    </row>
    <row r="85" spans="1:15" s="39" customFormat="1" ht="19.5" customHeight="1" x14ac:dyDescent="0.25">
      <c r="A85" s="12"/>
      <c r="B85" s="81">
        <f>+B84+1</f>
        <v>81</v>
      </c>
      <c r="C85" s="82" t="s">
        <v>131</v>
      </c>
      <c r="D85" s="83" t="s">
        <v>59</v>
      </c>
      <c r="E85" s="82" t="s">
        <v>21</v>
      </c>
      <c r="F85" s="83" t="s">
        <v>28</v>
      </c>
      <c r="G85" s="84">
        <v>20000</v>
      </c>
      <c r="H85" s="84">
        <v>20000</v>
      </c>
      <c r="I85" s="84">
        <v>574</v>
      </c>
      <c r="J85" s="84">
        <v>0</v>
      </c>
      <c r="K85" s="84">
        <v>608</v>
      </c>
      <c r="L85" s="84">
        <v>1746.67</v>
      </c>
      <c r="M85" s="85">
        <f t="shared" si="3"/>
        <v>2928.67</v>
      </c>
      <c r="N85" s="85">
        <f t="shared" si="4"/>
        <v>17071.330000000002</v>
      </c>
      <c r="O85" s="81" t="s">
        <v>23</v>
      </c>
    </row>
    <row r="86" spans="1:15" s="91" customFormat="1" ht="18.75" customHeight="1" x14ac:dyDescent="0.25">
      <c r="A86" s="87"/>
      <c r="B86" s="88">
        <f t="shared" si="5"/>
        <v>82</v>
      </c>
      <c r="C86" s="89" t="s">
        <v>132</v>
      </c>
      <c r="D86" s="90" t="s">
        <v>59</v>
      </c>
      <c r="E86" s="89" t="s">
        <v>25</v>
      </c>
      <c r="F86" s="90" t="s">
        <v>106</v>
      </c>
      <c r="G86" s="43">
        <v>13000</v>
      </c>
      <c r="H86" s="43">
        <v>13000</v>
      </c>
      <c r="I86" s="43">
        <v>373.1</v>
      </c>
      <c r="J86" s="43">
        <v>0</v>
      </c>
      <c r="K86" s="43">
        <v>395.2</v>
      </c>
      <c r="L86" s="43">
        <v>27.21</v>
      </c>
      <c r="M86" s="44">
        <f t="shared" si="3"/>
        <v>795.51</v>
      </c>
      <c r="N86" s="44">
        <f t="shared" si="4"/>
        <v>12204.49</v>
      </c>
      <c r="O86" s="88" t="s">
        <v>19</v>
      </c>
    </row>
    <row r="87" spans="1:15" s="91" customFormat="1" ht="16.5" customHeight="1" x14ac:dyDescent="0.25">
      <c r="A87" s="87"/>
      <c r="B87" s="88">
        <f t="shared" si="5"/>
        <v>83</v>
      </c>
      <c r="C87" s="89" t="s">
        <v>133</v>
      </c>
      <c r="D87" s="90" t="s">
        <v>59</v>
      </c>
      <c r="E87" s="89" t="s">
        <v>25</v>
      </c>
      <c r="F87" s="90" t="s">
        <v>66</v>
      </c>
      <c r="G87" s="43">
        <v>18000</v>
      </c>
      <c r="H87" s="43">
        <v>18000</v>
      </c>
      <c r="I87" s="43">
        <v>516.6</v>
      </c>
      <c r="J87" s="43">
        <v>0</v>
      </c>
      <c r="K87" s="43">
        <v>547.20000000000005</v>
      </c>
      <c r="L87" s="43">
        <v>1531.21</v>
      </c>
      <c r="M87" s="44">
        <f t="shared" si="3"/>
        <v>2595.0100000000002</v>
      </c>
      <c r="N87" s="44">
        <f t="shared" si="4"/>
        <v>15404.99</v>
      </c>
      <c r="O87" s="88" t="s">
        <v>19</v>
      </c>
    </row>
    <row r="88" spans="1:15" s="91" customFormat="1" x14ac:dyDescent="0.25">
      <c r="A88" s="87"/>
      <c r="B88" s="88">
        <f t="shared" si="5"/>
        <v>84</v>
      </c>
      <c r="C88" s="89" t="s">
        <v>134</v>
      </c>
      <c r="D88" s="90" t="s">
        <v>59</v>
      </c>
      <c r="E88" s="89" t="s">
        <v>21</v>
      </c>
      <c r="F88" s="90" t="s">
        <v>28</v>
      </c>
      <c r="G88" s="43">
        <v>21000</v>
      </c>
      <c r="H88" s="43">
        <v>21000</v>
      </c>
      <c r="I88" s="43">
        <v>602.70000000000005</v>
      </c>
      <c r="J88" s="43">
        <v>0</v>
      </c>
      <c r="K88" s="43">
        <v>638.4</v>
      </c>
      <c r="L88" s="43">
        <v>2246.67</v>
      </c>
      <c r="M88" s="44">
        <f t="shared" si="3"/>
        <v>3487.77</v>
      </c>
      <c r="N88" s="44">
        <f t="shared" si="4"/>
        <v>17512.23</v>
      </c>
      <c r="O88" s="88" t="s">
        <v>23</v>
      </c>
    </row>
    <row r="89" spans="1:15" s="91" customFormat="1" x14ac:dyDescent="0.25">
      <c r="A89" s="87"/>
      <c r="B89" s="88">
        <f t="shared" si="5"/>
        <v>85</v>
      </c>
      <c r="C89" s="89" t="s">
        <v>135</v>
      </c>
      <c r="D89" s="90" t="s">
        <v>59</v>
      </c>
      <c r="E89" s="89" t="s">
        <v>25</v>
      </c>
      <c r="F89" s="90" t="s">
        <v>106</v>
      </c>
      <c r="G89" s="43">
        <v>10000</v>
      </c>
      <c r="H89" s="43">
        <v>10000</v>
      </c>
      <c r="I89" s="43">
        <v>287</v>
      </c>
      <c r="J89" s="43">
        <v>0</v>
      </c>
      <c r="K89" s="43">
        <v>304</v>
      </c>
      <c r="L89" s="43">
        <v>31.21</v>
      </c>
      <c r="M89" s="44">
        <f t="shared" si="3"/>
        <v>622.21</v>
      </c>
      <c r="N89" s="44">
        <f t="shared" si="4"/>
        <v>9377.7900000000009</v>
      </c>
      <c r="O89" s="88" t="s">
        <v>19</v>
      </c>
    </row>
    <row r="90" spans="1:15" s="91" customFormat="1" x14ac:dyDescent="0.25">
      <c r="A90" s="87"/>
      <c r="B90" s="88">
        <f t="shared" si="5"/>
        <v>86</v>
      </c>
      <c r="C90" s="89" t="s">
        <v>136</v>
      </c>
      <c r="D90" s="90" t="s">
        <v>59</v>
      </c>
      <c r="E90" s="89" t="s">
        <v>25</v>
      </c>
      <c r="F90" s="90" t="s">
        <v>106</v>
      </c>
      <c r="G90" s="43">
        <v>13000</v>
      </c>
      <c r="H90" s="43">
        <v>13000</v>
      </c>
      <c r="I90" s="43">
        <v>373.1</v>
      </c>
      <c r="J90" s="43">
        <v>0</v>
      </c>
      <c r="K90" s="43">
        <v>395.2</v>
      </c>
      <c r="L90" s="43">
        <v>31.21</v>
      </c>
      <c r="M90" s="44">
        <f t="shared" si="3"/>
        <v>799.51</v>
      </c>
      <c r="N90" s="44">
        <f t="shared" si="4"/>
        <v>12200.49</v>
      </c>
      <c r="O90" s="88" t="s">
        <v>19</v>
      </c>
    </row>
    <row r="91" spans="1:15" s="91" customFormat="1" x14ac:dyDescent="0.25">
      <c r="A91" s="87"/>
      <c r="B91" s="88">
        <f t="shared" si="5"/>
        <v>87</v>
      </c>
      <c r="C91" s="89" t="s">
        <v>137</v>
      </c>
      <c r="D91" s="90" t="s">
        <v>59</v>
      </c>
      <c r="E91" s="89" t="s">
        <v>25</v>
      </c>
      <c r="F91" s="90" t="s">
        <v>106</v>
      </c>
      <c r="G91" s="43">
        <v>10000</v>
      </c>
      <c r="H91" s="43">
        <v>10000</v>
      </c>
      <c r="I91" s="43">
        <v>287</v>
      </c>
      <c r="J91" s="43">
        <v>0</v>
      </c>
      <c r="K91" s="43">
        <v>304</v>
      </c>
      <c r="L91" s="43">
        <v>27.21</v>
      </c>
      <c r="M91" s="44">
        <f t="shared" si="3"/>
        <v>618.21</v>
      </c>
      <c r="N91" s="44">
        <f t="shared" si="4"/>
        <v>9381.7900000000009</v>
      </c>
      <c r="O91" s="88" t="s">
        <v>19</v>
      </c>
    </row>
    <row r="92" spans="1:15" s="91" customFormat="1" x14ac:dyDescent="0.25">
      <c r="A92" s="87"/>
      <c r="B92" s="88">
        <f t="shared" si="5"/>
        <v>88</v>
      </c>
      <c r="C92" s="89" t="s">
        <v>138</v>
      </c>
      <c r="D92" s="90" t="s">
        <v>59</v>
      </c>
      <c r="E92" s="89" t="s">
        <v>25</v>
      </c>
      <c r="F92" s="90" t="s">
        <v>106</v>
      </c>
      <c r="G92" s="43">
        <v>13000</v>
      </c>
      <c r="H92" s="43">
        <v>13000</v>
      </c>
      <c r="I92" s="43">
        <v>373.1</v>
      </c>
      <c r="J92" s="43">
        <v>0</v>
      </c>
      <c r="K92" s="43">
        <v>395.2</v>
      </c>
      <c r="L92" s="43">
        <v>0</v>
      </c>
      <c r="M92" s="44">
        <f t="shared" si="3"/>
        <v>768.3</v>
      </c>
      <c r="N92" s="44">
        <f t="shared" si="4"/>
        <v>12231.7</v>
      </c>
      <c r="O92" s="88" t="s">
        <v>19</v>
      </c>
    </row>
    <row r="93" spans="1:15" s="91" customFormat="1" x14ac:dyDescent="0.25">
      <c r="A93" s="87"/>
      <c r="B93" s="88">
        <f t="shared" si="5"/>
        <v>89</v>
      </c>
      <c r="C93" s="89" t="s">
        <v>139</v>
      </c>
      <c r="D93" s="90" t="s">
        <v>59</v>
      </c>
      <c r="E93" s="89" t="s">
        <v>21</v>
      </c>
      <c r="F93" s="90" t="s">
        <v>140</v>
      </c>
      <c r="G93" s="43">
        <v>24281.25</v>
      </c>
      <c r="H93" s="43">
        <v>24281.25</v>
      </c>
      <c r="I93" s="43">
        <v>696.87</v>
      </c>
      <c r="J93" s="43">
        <v>0</v>
      </c>
      <c r="K93" s="43">
        <v>738.15</v>
      </c>
      <c r="L93" s="43">
        <f>1663.42+31.21+1715.46</f>
        <v>3410.09</v>
      </c>
      <c r="M93" s="44">
        <f>+L93+K93+J93+I93</f>
        <v>4845.1099999999997</v>
      </c>
      <c r="N93" s="44">
        <f>+G93-M93</f>
        <v>19436.14</v>
      </c>
      <c r="O93" s="88" t="s">
        <v>23</v>
      </c>
    </row>
    <row r="94" spans="1:15" s="91" customFormat="1" x14ac:dyDescent="0.25">
      <c r="A94" s="87"/>
      <c r="B94" s="88">
        <f t="shared" si="5"/>
        <v>90</v>
      </c>
      <c r="C94" s="89" t="s">
        <v>141</v>
      </c>
      <c r="D94" s="90" t="s">
        <v>59</v>
      </c>
      <c r="E94" s="89" t="s">
        <v>25</v>
      </c>
      <c r="F94" s="90" t="s">
        <v>106</v>
      </c>
      <c r="G94" s="43">
        <v>13000</v>
      </c>
      <c r="H94" s="43">
        <v>13000</v>
      </c>
      <c r="I94" s="43">
        <v>373.1</v>
      </c>
      <c r="J94" s="43">
        <v>0</v>
      </c>
      <c r="K94" s="43">
        <v>395.2</v>
      </c>
      <c r="L94" s="43">
        <v>29.21</v>
      </c>
      <c r="M94" s="44">
        <f t="shared" si="3"/>
        <v>797.51</v>
      </c>
      <c r="N94" s="44">
        <f t="shared" si="4"/>
        <v>12202.49</v>
      </c>
      <c r="O94" s="88" t="s">
        <v>19</v>
      </c>
    </row>
    <row r="95" spans="1:15" s="91" customFormat="1" x14ac:dyDescent="0.25">
      <c r="A95" s="87"/>
      <c r="B95" s="88">
        <f t="shared" si="5"/>
        <v>91</v>
      </c>
      <c r="C95" s="89" t="s">
        <v>142</v>
      </c>
      <c r="D95" s="90" t="s">
        <v>59</v>
      </c>
      <c r="E95" s="89" t="s">
        <v>25</v>
      </c>
      <c r="F95" s="90" t="s">
        <v>106</v>
      </c>
      <c r="G95" s="43">
        <v>13000</v>
      </c>
      <c r="H95" s="43">
        <v>13000</v>
      </c>
      <c r="I95" s="43">
        <v>373.1</v>
      </c>
      <c r="J95" s="43">
        <v>0</v>
      </c>
      <c r="K95" s="43">
        <v>395.2</v>
      </c>
      <c r="L95" s="43">
        <v>31.21</v>
      </c>
      <c r="M95" s="44">
        <f t="shared" si="3"/>
        <v>799.51</v>
      </c>
      <c r="N95" s="44">
        <f t="shared" si="4"/>
        <v>12200.49</v>
      </c>
      <c r="O95" s="88" t="s">
        <v>19</v>
      </c>
    </row>
    <row r="96" spans="1:15" s="91" customFormat="1" x14ac:dyDescent="0.25">
      <c r="A96" s="87"/>
      <c r="B96" s="88">
        <f t="shared" si="5"/>
        <v>92</v>
      </c>
      <c r="C96" s="89" t="s">
        <v>143</v>
      </c>
      <c r="D96" s="90" t="s">
        <v>59</v>
      </c>
      <c r="E96" s="89" t="s">
        <v>21</v>
      </c>
      <c r="F96" s="90" t="s">
        <v>140</v>
      </c>
      <c r="G96" s="43">
        <v>28000</v>
      </c>
      <c r="H96" s="43">
        <v>28000</v>
      </c>
      <c r="I96" s="43">
        <v>803.6</v>
      </c>
      <c r="J96" s="43">
        <v>0</v>
      </c>
      <c r="K96" s="43">
        <v>851.2</v>
      </c>
      <c r="L96" s="43">
        <v>15836.83</v>
      </c>
      <c r="M96" s="44">
        <f t="shared" si="3"/>
        <v>17491.63</v>
      </c>
      <c r="N96" s="44">
        <f t="shared" si="4"/>
        <v>10508.369999999999</v>
      </c>
      <c r="O96" s="88" t="s">
        <v>23</v>
      </c>
    </row>
    <row r="97" spans="1:15" s="91" customFormat="1" x14ac:dyDescent="0.25">
      <c r="A97" s="87"/>
      <c r="B97" s="88">
        <f t="shared" si="5"/>
        <v>93</v>
      </c>
      <c r="C97" s="89" t="s">
        <v>144</v>
      </c>
      <c r="D97" s="90" t="s">
        <v>59</v>
      </c>
      <c r="E97" s="89" t="s">
        <v>25</v>
      </c>
      <c r="F97" s="90" t="s">
        <v>106</v>
      </c>
      <c r="G97" s="43">
        <v>13000</v>
      </c>
      <c r="H97" s="43">
        <v>13000</v>
      </c>
      <c r="I97" s="43">
        <v>373.1</v>
      </c>
      <c r="J97" s="43">
        <v>0</v>
      </c>
      <c r="K97" s="43">
        <v>395.2</v>
      </c>
      <c r="L97" s="43">
        <v>29.21</v>
      </c>
      <c r="M97" s="44">
        <f t="shared" si="3"/>
        <v>797.51</v>
      </c>
      <c r="N97" s="44">
        <f t="shared" si="4"/>
        <v>12202.49</v>
      </c>
      <c r="O97" s="88" t="s">
        <v>19</v>
      </c>
    </row>
    <row r="98" spans="1:15" s="91" customFormat="1" x14ac:dyDescent="0.25">
      <c r="A98" s="87"/>
      <c r="B98" s="88">
        <f t="shared" si="5"/>
        <v>94</v>
      </c>
      <c r="C98" s="89" t="s">
        <v>145</v>
      </c>
      <c r="D98" s="90" t="s">
        <v>59</v>
      </c>
      <c r="E98" s="89" t="s">
        <v>25</v>
      </c>
      <c r="F98" s="90" t="s">
        <v>146</v>
      </c>
      <c r="G98" s="43">
        <v>12100</v>
      </c>
      <c r="H98" s="43">
        <v>12100</v>
      </c>
      <c r="I98" s="43">
        <v>347.27</v>
      </c>
      <c r="J98" s="43">
        <v>0</v>
      </c>
      <c r="K98" s="43">
        <v>367.84</v>
      </c>
      <c r="L98" s="43">
        <v>6177.72</v>
      </c>
      <c r="M98" s="44">
        <f>+L98+K98+J98+I98</f>
        <v>6892.83</v>
      </c>
      <c r="N98" s="44">
        <f>+G98-M98</f>
        <v>5207.17</v>
      </c>
      <c r="O98" s="88" t="s">
        <v>19</v>
      </c>
    </row>
    <row r="99" spans="1:15" s="91" customFormat="1" ht="19.5" customHeight="1" x14ac:dyDescent="0.25">
      <c r="A99" s="87"/>
      <c r="B99" s="88">
        <f t="shared" si="5"/>
        <v>95</v>
      </c>
      <c r="C99" s="89" t="s">
        <v>147</v>
      </c>
      <c r="D99" s="90" t="s">
        <v>59</v>
      </c>
      <c r="E99" s="89" t="s">
        <v>25</v>
      </c>
      <c r="F99" s="90" t="s">
        <v>106</v>
      </c>
      <c r="G99" s="43">
        <v>13000</v>
      </c>
      <c r="H99" s="43">
        <v>13000</v>
      </c>
      <c r="I99" s="43">
        <v>373.1</v>
      </c>
      <c r="J99" s="43">
        <v>0</v>
      </c>
      <c r="K99" s="43">
        <v>395.2</v>
      </c>
      <c r="L99" s="43">
        <v>31.21</v>
      </c>
      <c r="M99" s="44">
        <f t="shared" si="3"/>
        <v>799.51</v>
      </c>
      <c r="N99" s="44">
        <f t="shared" si="4"/>
        <v>12200.49</v>
      </c>
      <c r="O99" s="88" t="s">
        <v>19</v>
      </c>
    </row>
    <row r="100" spans="1:15" s="91" customFormat="1" x14ac:dyDescent="0.25">
      <c r="A100" s="87"/>
      <c r="B100" s="88">
        <f t="shared" si="5"/>
        <v>96</v>
      </c>
      <c r="C100" s="89" t="s">
        <v>148</v>
      </c>
      <c r="D100" s="90" t="s">
        <v>59</v>
      </c>
      <c r="E100" s="89" t="s">
        <v>25</v>
      </c>
      <c r="F100" s="90" t="s">
        <v>28</v>
      </c>
      <c r="G100" s="43">
        <v>15000</v>
      </c>
      <c r="H100" s="43">
        <v>15000</v>
      </c>
      <c r="I100" s="43">
        <v>430.5</v>
      </c>
      <c r="J100" s="43">
        <v>0</v>
      </c>
      <c r="K100" s="43">
        <v>456</v>
      </c>
      <c r="L100" s="43">
        <f>100+415.86+31.21</f>
        <v>547.07000000000005</v>
      </c>
      <c r="M100" s="44">
        <f t="shared" si="3"/>
        <v>1433.5700000000002</v>
      </c>
      <c r="N100" s="44">
        <f t="shared" si="4"/>
        <v>13566.43</v>
      </c>
      <c r="O100" s="88" t="s">
        <v>23</v>
      </c>
    </row>
    <row r="101" spans="1:15" s="91" customFormat="1" ht="19.5" customHeight="1" x14ac:dyDescent="0.25">
      <c r="A101" s="87"/>
      <c r="B101" s="88">
        <f t="shared" si="5"/>
        <v>97</v>
      </c>
      <c r="C101" s="89" t="s">
        <v>149</v>
      </c>
      <c r="D101" s="90" t="s">
        <v>59</v>
      </c>
      <c r="E101" s="89" t="s">
        <v>25</v>
      </c>
      <c r="F101" s="90" t="s">
        <v>150</v>
      </c>
      <c r="G101" s="43">
        <v>13550</v>
      </c>
      <c r="H101" s="43">
        <v>13550</v>
      </c>
      <c r="I101" s="43">
        <v>388.89</v>
      </c>
      <c r="J101" s="43">
        <v>0</v>
      </c>
      <c r="K101" s="43">
        <v>411.92</v>
      </c>
      <c r="L101" s="43">
        <v>27.21</v>
      </c>
      <c r="M101" s="44">
        <f t="shared" si="3"/>
        <v>828.02</v>
      </c>
      <c r="N101" s="44">
        <f t="shared" si="4"/>
        <v>12721.98</v>
      </c>
      <c r="O101" s="88" t="s">
        <v>19</v>
      </c>
    </row>
    <row r="102" spans="1:15" s="91" customFormat="1" ht="16.5" customHeight="1" x14ac:dyDescent="0.25">
      <c r="A102" s="87"/>
      <c r="B102" s="88">
        <f t="shared" si="5"/>
        <v>98</v>
      </c>
      <c r="C102" s="89" t="s">
        <v>151</v>
      </c>
      <c r="D102" s="90" t="s">
        <v>59</v>
      </c>
      <c r="E102" s="89" t="s">
        <v>25</v>
      </c>
      <c r="F102" s="90" t="s">
        <v>150</v>
      </c>
      <c r="G102" s="43">
        <v>19800</v>
      </c>
      <c r="H102" s="43">
        <v>19800</v>
      </c>
      <c r="I102" s="43">
        <v>568.26</v>
      </c>
      <c r="J102" s="43">
        <v>0</v>
      </c>
      <c r="K102" s="43">
        <v>601.91999999999996</v>
      </c>
      <c r="L102" s="43">
        <f>100+29.21+1000+3917.05</f>
        <v>5046.26</v>
      </c>
      <c r="M102" s="44">
        <f t="shared" si="3"/>
        <v>6216.4400000000005</v>
      </c>
      <c r="N102" s="44">
        <f t="shared" si="4"/>
        <v>13583.56</v>
      </c>
      <c r="O102" s="88" t="s">
        <v>19</v>
      </c>
    </row>
    <row r="103" spans="1:15" s="91" customFormat="1" ht="17.25" customHeight="1" x14ac:dyDescent="0.25">
      <c r="A103" s="87"/>
      <c r="B103" s="88">
        <f t="shared" si="5"/>
        <v>99</v>
      </c>
      <c r="C103" s="89" t="s">
        <v>152</v>
      </c>
      <c r="D103" s="90" t="s">
        <v>59</v>
      </c>
      <c r="E103" s="89" t="s">
        <v>25</v>
      </c>
      <c r="F103" s="90" t="s">
        <v>106</v>
      </c>
      <c r="G103" s="43">
        <v>13000</v>
      </c>
      <c r="H103" s="43">
        <v>13000</v>
      </c>
      <c r="I103" s="43">
        <v>373.1</v>
      </c>
      <c r="J103" s="43">
        <v>0</v>
      </c>
      <c r="K103" s="43">
        <v>395.2</v>
      </c>
      <c r="L103" s="43">
        <v>3164.69</v>
      </c>
      <c r="M103" s="44">
        <f t="shared" si="3"/>
        <v>3932.99</v>
      </c>
      <c r="N103" s="44">
        <f t="shared" si="4"/>
        <v>9067.01</v>
      </c>
      <c r="O103" s="88" t="s">
        <v>19</v>
      </c>
    </row>
    <row r="104" spans="1:15" s="91" customFormat="1" x14ac:dyDescent="0.25">
      <c r="A104" s="87"/>
      <c r="B104" s="88">
        <f t="shared" si="5"/>
        <v>100</v>
      </c>
      <c r="C104" s="89" t="s">
        <v>153</v>
      </c>
      <c r="D104" s="90" t="s">
        <v>59</v>
      </c>
      <c r="E104" s="89" t="s">
        <v>25</v>
      </c>
      <c r="F104" s="90" t="s">
        <v>62</v>
      </c>
      <c r="G104" s="43">
        <v>15000</v>
      </c>
      <c r="H104" s="43">
        <v>15000</v>
      </c>
      <c r="I104" s="43">
        <v>430.5</v>
      </c>
      <c r="J104" s="43">
        <v>0</v>
      </c>
      <c r="K104" s="43">
        <v>456</v>
      </c>
      <c r="L104" s="43">
        <f>120+31.21+1000+3142.82+2637.48</f>
        <v>6931.51</v>
      </c>
      <c r="M104" s="44">
        <f t="shared" si="3"/>
        <v>7818.01</v>
      </c>
      <c r="N104" s="44">
        <f t="shared" si="4"/>
        <v>7181.99</v>
      </c>
      <c r="O104" s="88" t="s">
        <v>23</v>
      </c>
    </row>
    <row r="105" spans="1:15" s="97" customFormat="1" ht="22.5" customHeight="1" x14ac:dyDescent="0.25">
      <c r="A105" s="96"/>
      <c r="B105" s="88">
        <f>B104+1</f>
        <v>101</v>
      </c>
      <c r="C105" s="89" t="s">
        <v>154</v>
      </c>
      <c r="D105" s="90" t="s">
        <v>59</v>
      </c>
      <c r="E105" s="89" t="s">
        <v>25</v>
      </c>
      <c r="F105" s="90" t="s">
        <v>122</v>
      </c>
      <c r="G105" s="43">
        <v>85000</v>
      </c>
      <c r="H105" s="43">
        <v>85000</v>
      </c>
      <c r="I105" s="43">
        <v>2439.5</v>
      </c>
      <c r="J105" s="43">
        <v>8576.99</v>
      </c>
      <c r="K105" s="43">
        <v>2584</v>
      </c>
      <c r="L105" s="43">
        <f>5779.73+31.21+500+3142.81</f>
        <v>9453.75</v>
      </c>
      <c r="M105" s="44">
        <f t="shared" si="3"/>
        <v>23054.239999999998</v>
      </c>
      <c r="N105" s="44">
        <f t="shared" si="4"/>
        <v>61945.760000000002</v>
      </c>
      <c r="O105" s="88" t="s">
        <v>19</v>
      </c>
    </row>
    <row r="106" spans="1:15" s="91" customFormat="1" ht="21" customHeight="1" x14ac:dyDescent="0.25">
      <c r="A106" s="87"/>
      <c r="B106" s="99">
        <f t="shared" si="5"/>
        <v>102</v>
      </c>
      <c r="C106" s="100" t="s">
        <v>155</v>
      </c>
      <c r="D106" s="101" t="s">
        <v>59</v>
      </c>
      <c r="E106" s="100" t="s">
        <v>25</v>
      </c>
      <c r="F106" s="101" t="s">
        <v>62</v>
      </c>
      <c r="G106" s="102">
        <v>15000</v>
      </c>
      <c r="H106" s="102">
        <v>15000</v>
      </c>
      <c r="I106" s="102">
        <v>430.5</v>
      </c>
      <c r="J106" s="102">
        <v>0</v>
      </c>
      <c r="K106" s="102">
        <v>456</v>
      </c>
      <c r="L106" s="102">
        <f>31.21+2000+3515.7+2637.48</f>
        <v>8184.3899999999994</v>
      </c>
      <c r="M106" s="103">
        <f t="shared" si="3"/>
        <v>9070.89</v>
      </c>
      <c r="N106" s="103">
        <f t="shared" si="4"/>
        <v>5929.1100000000006</v>
      </c>
      <c r="O106" s="99" t="s">
        <v>23</v>
      </c>
    </row>
    <row r="107" spans="1:15" s="91" customFormat="1" x14ac:dyDescent="0.25">
      <c r="A107" s="87"/>
      <c r="B107" s="88">
        <f t="shared" si="5"/>
        <v>103</v>
      </c>
      <c r="C107" s="89" t="s">
        <v>156</v>
      </c>
      <c r="D107" s="90" t="s">
        <v>59</v>
      </c>
      <c r="E107" s="89" t="s">
        <v>25</v>
      </c>
      <c r="F107" s="90" t="s">
        <v>106</v>
      </c>
      <c r="G107" s="43">
        <v>13000</v>
      </c>
      <c r="H107" s="43">
        <v>13000</v>
      </c>
      <c r="I107" s="43">
        <v>373.1</v>
      </c>
      <c r="J107" s="43">
        <v>0</v>
      </c>
      <c r="K107" s="43">
        <v>395.2</v>
      </c>
      <c r="L107" s="43">
        <f>2031.21+879.16</f>
        <v>2910.37</v>
      </c>
      <c r="M107" s="44">
        <f t="shared" si="3"/>
        <v>3678.67</v>
      </c>
      <c r="N107" s="44">
        <f t="shared" si="4"/>
        <v>9321.33</v>
      </c>
      <c r="O107" s="88" t="s">
        <v>19</v>
      </c>
    </row>
    <row r="108" spans="1:15" s="91" customFormat="1" ht="21" customHeight="1" x14ac:dyDescent="0.25">
      <c r="A108" s="87"/>
      <c r="B108" s="88">
        <f t="shared" si="5"/>
        <v>104</v>
      </c>
      <c r="C108" s="89" t="s">
        <v>157</v>
      </c>
      <c r="D108" s="90" t="s">
        <v>59</v>
      </c>
      <c r="E108" s="89" t="s">
        <v>25</v>
      </c>
      <c r="F108" s="90" t="s">
        <v>62</v>
      </c>
      <c r="G108" s="43">
        <v>15000</v>
      </c>
      <c r="H108" s="43">
        <v>15000</v>
      </c>
      <c r="I108" s="43">
        <v>430.5</v>
      </c>
      <c r="J108" s="43">
        <v>0</v>
      </c>
      <c r="K108" s="43">
        <v>456</v>
      </c>
      <c r="L108" s="43">
        <v>31.21</v>
      </c>
      <c r="M108" s="44">
        <f t="shared" si="3"/>
        <v>917.71</v>
      </c>
      <c r="N108" s="44">
        <f t="shared" si="4"/>
        <v>14082.29</v>
      </c>
      <c r="O108" s="88" t="s">
        <v>23</v>
      </c>
    </row>
    <row r="109" spans="1:15" s="91" customFormat="1" x14ac:dyDescent="0.25">
      <c r="A109" s="87"/>
      <c r="B109" s="88">
        <f t="shared" si="5"/>
        <v>105</v>
      </c>
      <c r="C109" s="89" t="s">
        <v>158</v>
      </c>
      <c r="D109" s="90" t="s">
        <v>59</v>
      </c>
      <c r="E109" s="89" t="s">
        <v>25</v>
      </c>
      <c r="F109" s="90" t="s">
        <v>28</v>
      </c>
      <c r="G109" s="43">
        <v>10000</v>
      </c>
      <c r="H109" s="43">
        <v>10000</v>
      </c>
      <c r="I109" s="43">
        <v>287</v>
      </c>
      <c r="J109" s="43">
        <v>0</v>
      </c>
      <c r="K109" s="43">
        <v>304</v>
      </c>
      <c r="L109" s="43">
        <v>31.21</v>
      </c>
      <c r="M109" s="44">
        <f t="shared" si="3"/>
        <v>622.21</v>
      </c>
      <c r="N109" s="44">
        <f t="shared" si="4"/>
        <v>9377.7900000000009</v>
      </c>
      <c r="O109" s="88" t="s">
        <v>23</v>
      </c>
    </row>
    <row r="110" spans="1:15" s="91" customFormat="1" x14ac:dyDescent="0.25">
      <c r="A110" s="87"/>
      <c r="B110" s="88">
        <f t="shared" si="5"/>
        <v>106</v>
      </c>
      <c r="C110" s="89" t="s">
        <v>159</v>
      </c>
      <c r="D110" s="90" t="s">
        <v>59</v>
      </c>
      <c r="E110" s="89" t="s">
        <v>25</v>
      </c>
      <c r="F110" s="90" t="s">
        <v>106</v>
      </c>
      <c r="G110" s="43">
        <v>13000</v>
      </c>
      <c r="H110" s="43">
        <v>13000</v>
      </c>
      <c r="I110" s="43">
        <v>373.1</v>
      </c>
      <c r="J110" s="43">
        <v>0</v>
      </c>
      <c r="K110" s="43">
        <v>395.2</v>
      </c>
      <c r="L110" s="43">
        <v>5498.41</v>
      </c>
      <c r="M110" s="44">
        <f>+L110+K110+J110+I110</f>
        <v>6266.71</v>
      </c>
      <c r="N110" s="44">
        <f>+G110-M110</f>
        <v>6733.29</v>
      </c>
      <c r="O110" s="88" t="s">
        <v>19</v>
      </c>
    </row>
    <row r="111" spans="1:15" s="91" customFormat="1" x14ac:dyDescent="0.25">
      <c r="A111" s="87"/>
      <c r="B111" s="88">
        <f t="shared" si="5"/>
        <v>107</v>
      </c>
      <c r="C111" s="89" t="s">
        <v>160</v>
      </c>
      <c r="D111" s="90" t="s">
        <v>59</v>
      </c>
      <c r="E111" s="89" t="s">
        <v>25</v>
      </c>
      <c r="F111" s="90" t="s">
        <v>106</v>
      </c>
      <c r="G111" s="43">
        <v>13000</v>
      </c>
      <c r="H111" s="43">
        <v>13000</v>
      </c>
      <c r="I111" s="43">
        <v>373.1</v>
      </c>
      <c r="J111" s="43">
        <v>0</v>
      </c>
      <c r="K111" s="43">
        <v>395.2</v>
      </c>
      <c r="L111" s="43">
        <v>31.21</v>
      </c>
      <c r="M111" s="44">
        <f t="shared" si="3"/>
        <v>799.51</v>
      </c>
      <c r="N111" s="44">
        <f t="shared" si="4"/>
        <v>12200.49</v>
      </c>
      <c r="O111" s="88" t="s">
        <v>19</v>
      </c>
    </row>
    <row r="112" spans="1:15" s="91" customFormat="1" x14ac:dyDescent="0.25">
      <c r="A112" s="87"/>
      <c r="B112" s="88">
        <f t="shared" si="5"/>
        <v>108</v>
      </c>
      <c r="C112" s="89" t="s">
        <v>635</v>
      </c>
      <c r="D112" s="90" t="s">
        <v>59</v>
      </c>
      <c r="E112" s="89" t="s">
        <v>25</v>
      </c>
      <c r="F112" s="90" t="s">
        <v>62</v>
      </c>
      <c r="G112" s="43">
        <v>15000</v>
      </c>
      <c r="H112" s="43">
        <v>15000</v>
      </c>
      <c r="I112" s="43">
        <v>430.5</v>
      </c>
      <c r="J112" s="43">
        <v>0</v>
      </c>
      <c r="K112" s="43">
        <v>456</v>
      </c>
      <c r="L112" s="43">
        <v>31.21</v>
      </c>
      <c r="M112" s="44">
        <f t="shared" si="3"/>
        <v>917.71</v>
      </c>
      <c r="N112" s="44">
        <f t="shared" si="4"/>
        <v>14082.29</v>
      </c>
      <c r="O112" s="88" t="s">
        <v>23</v>
      </c>
    </row>
    <row r="113" spans="1:15" s="91" customFormat="1" x14ac:dyDescent="0.25">
      <c r="A113" s="87"/>
      <c r="B113" s="88">
        <f t="shared" si="5"/>
        <v>109</v>
      </c>
      <c r="C113" s="89" t="s">
        <v>162</v>
      </c>
      <c r="D113" s="90" t="s">
        <v>59</v>
      </c>
      <c r="E113" s="89" t="s">
        <v>25</v>
      </c>
      <c r="F113" s="90" t="s">
        <v>106</v>
      </c>
      <c r="G113" s="43">
        <v>13000</v>
      </c>
      <c r="H113" s="43">
        <v>13000</v>
      </c>
      <c r="I113" s="43">
        <v>373.1</v>
      </c>
      <c r="J113" s="43">
        <v>0</v>
      </c>
      <c r="K113" s="43">
        <v>395.2</v>
      </c>
      <c r="L113" s="43">
        <v>31.21</v>
      </c>
      <c r="M113" s="44">
        <f t="shared" si="3"/>
        <v>799.51</v>
      </c>
      <c r="N113" s="44">
        <f t="shared" si="4"/>
        <v>12200.49</v>
      </c>
      <c r="O113" s="88" t="s">
        <v>19</v>
      </c>
    </row>
    <row r="114" spans="1:15" s="91" customFormat="1" x14ac:dyDescent="0.25">
      <c r="A114" s="87"/>
      <c r="B114" s="88">
        <f t="shared" si="5"/>
        <v>110</v>
      </c>
      <c r="C114" s="89" t="s">
        <v>163</v>
      </c>
      <c r="D114" s="90" t="s">
        <v>59</v>
      </c>
      <c r="E114" s="89" t="s">
        <v>25</v>
      </c>
      <c r="F114" s="90" t="s">
        <v>62</v>
      </c>
      <c r="G114" s="43">
        <v>10000</v>
      </c>
      <c r="H114" s="43">
        <v>10000</v>
      </c>
      <c r="I114" s="43">
        <v>287</v>
      </c>
      <c r="J114" s="43">
        <v>0</v>
      </c>
      <c r="K114" s="43">
        <v>304</v>
      </c>
      <c r="L114" s="43">
        <v>29.21</v>
      </c>
      <c r="M114" s="44">
        <f t="shared" si="3"/>
        <v>620.21</v>
      </c>
      <c r="N114" s="44">
        <f t="shared" si="4"/>
        <v>9379.7900000000009</v>
      </c>
      <c r="O114" s="88" t="s">
        <v>23</v>
      </c>
    </row>
    <row r="115" spans="1:15" s="91" customFormat="1" x14ac:dyDescent="0.25">
      <c r="A115" s="87"/>
      <c r="B115" s="88">
        <f t="shared" si="5"/>
        <v>111</v>
      </c>
      <c r="C115" s="89" t="s">
        <v>164</v>
      </c>
      <c r="D115" s="90" t="s">
        <v>59</v>
      </c>
      <c r="E115" s="89" t="s">
        <v>25</v>
      </c>
      <c r="F115" s="90" t="s">
        <v>106</v>
      </c>
      <c r="G115" s="43">
        <v>13000</v>
      </c>
      <c r="H115" s="43">
        <v>13000</v>
      </c>
      <c r="I115" s="43">
        <v>373.1</v>
      </c>
      <c r="J115" s="43">
        <v>0</v>
      </c>
      <c r="K115" s="43">
        <v>395.2</v>
      </c>
      <c r="L115" s="43">
        <v>31.21</v>
      </c>
      <c r="M115" s="44">
        <f t="shared" si="3"/>
        <v>799.51</v>
      </c>
      <c r="N115" s="44">
        <f t="shared" si="4"/>
        <v>12200.49</v>
      </c>
      <c r="O115" s="88" t="s">
        <v>19</v>
      </c>
    </row>
    <row r="116" spans="1:15" s="91" customFormat="1" ht="18.75" customHeight="1" x14ac:dyDescent="0.25">
      <c r="A116" s="87"/>
      <c r="B116" s="88">
        <f t="shared" si="5"/>
        <v>112</v>
      </c>
      <c r="C116" s="89" t="s">
        <v>165</v>
      </c>
      <c r="D116" s="90" t="s">
        <v>59</v>
      </c>
      <c r="E116" s="89" t="s">
        <v>25</v>
      </c>
      <c r="F116" s="90" t="s">
        <v>62</v>
      </c>
      <c r="G116" s="43">
        <v>15000</v>
      </c>
      <c r="H116" s="43">
        <v>15000</v>
      </c>
      <c r="I116" s="43">
        <v>430.5</v>
      </c>
      <c r="J116" s="43">
        <v>0</v>
      </c>
      <c r="K116" s="43">
        <v>456</v>
      </c>
      <c r="L116" s="43">
        <v>227.21</v>
      </c>
      <c r="M116" s="44">
        <f t="shared" si="3"/>
        <v>1113.71</v>
      </c>
      <c r="N116" s="44">
        <f t="shared" si="4"/>
        <v>13886.29</v>
      </c>
      <c r="O116" s="88" t="s">
        <v>23</v>
      </c>
    </row>
    <row r="117" spans="1:15" s="91" customFormat="1" ht="19.5" customHeight="1" x14ac:dyDescent="0.25">
      <c r="A117" s="87"/>
      <c r="B117" s="88">
        <f t="shared" si="5"/>
        <v>113</v>
      </c>
      <c r="C117" s="89" t="s">
        <v>166</v>
      </c>
      <c r="D117" s="90" t="s">
        <v>59</v>
      </c>
      <c r="E117" s="89" t="s">
        <v>25</v>
      </c>
      <c r="F117" s="90" t="s">
        <v>106</v>
      </c>
      <c r="G117" s="43">
        <v>13000</v>
      </c>
      <c r="H117" s="43">
        <v>13000</v>
      </c>
      <c r="I117" s="43">
        <v>373.1</v>
      </c>
      <c r="J117" s="43">
        <v>0</v>
      </c>
      <c r="K117" s="43">
        <v>395.2</v>
      </c>
      <c r="L117" s="43">
        <v>31.21</v>
      </c>
      <c r="M117" s="44">
        <f t="shared" si="3"/>
        <v>799.51</v>
      </c>
      <c r="N117" s="44">
        <f t="shared" si="4"/>
        <v>12200.49</v>
      </c>
      <c r="O117" s="88" t="s">
        <v>19</v>
      </c>
    </row>
    <row r="118" spans="1:15" s="91" customFormat="1" ht="17.25" customHeight="1" x14ac:dyDescent="0.25">
      <c r="A118" s="87"/>
      <c r="B118" s="88">
        <f t="shared" si="5"/>
        <v>114</v>
      </c>
      <c r="C118" s="89" t="s">
        <v>167</v>
      </c>
      <c r="D118" s="90" t="s">
        <v>59</v>
      </c>
      <c r="E118" s="89" t="s">
        <v>25</v>
      </c>
      <c r="F118" s="90" t="s">
        <v>106</v>
      </c>
      <c r="G118" s="43">
        <v>13000</v>
      </c>
      <c r="H118" s="43">
        <v>13000</v>
      </c>
      <c r="I118" s="43">
        <v>373.1</v>
      </c>
      <c r="J118" s="43">
        <v>0</v>
      </c>
      <c r="K118" s="43">
        <v>395.2</v>
      </c>
      <c r="L118" s="43">
        <v>31.21</v>
      </c>
      <c r="M118" s="44">
        <f t="shared" si="3"/>
        <v>799.51</v>
      </c>
      <c r="N118" s="44">
        <f t="shared" si="4"/>
        <v>12200.49</v>
      </c>
      <c r="O118" s="88" t="s">
        <v>19</v>
      </c>
    </row>
    <row r="119" spans="1:15" s="91" customFormat="1" ht="17.25" customHeight="1" x14ac:dyDescent="0.25">
      <c r="A119" s="87"/>
      <c r="B119" s="88">
        <f t="shared" si="5"/>
        <v>115</v>
      </c>
      <c r="C119" s="89" t="s">
        <v>168</v>
      </c>
      <c r="D119" s="90" t="s">
        <v>59</v>
      </c>
      <c r="E119" s="89" t="s">
        <v>25</v>
      </c>
      <c r="F119" s="90" t="s">
        <v>106</v>
      </c>
      <c r="G119" s="43">
        <v>13000</v>
      </c>
      <c r="H119" s="43">
        <v>13000</v>
      </c>
      <c r="I119" s="43">
        <v>373.1</v>
      </c>
      <c r="J119" s="43">
        <v>0</v>
      </c>
      <c r="K119" s="43">
        <v>395.2</v>
      </c>
      <c r="L119" s="43">
        <v>29.21</v>
      </c>
      <c r="M119" s="44">
        <f t="shared" si="3"/>
        <v>797.51</v>
      </c>
      <c r="N119" s="44">
        <f t="shared" si="4"/>
        <v>12202.49</v>
      </c>
      <c r="O119" s="88" t="s">
        <v>19</v>
      </c>
    </row>
    <row r="120" spans="1:15" s="91" customFormat="1" ht="19.5" customHeight="1" x14ac:dyDescent="0.25">
      <c r="A120" s="87"/>
      <c r="B120" s="88">
        <f t="shared" si="5"/>
        <v>116</v>
      </c>
      <c r="C120" s="89" t="s">
        <v>169</v>
      </c>
      <c r="D120" s="90" t="s">
        <v>59</v>
      </c>
      <c r="E120" s="89" t="s">
        <v>25</v>
      </c>
      <c r="F120" s="90" t="s">
        <v>106</v>
      </c>
      <c r="G120" s="43">
        <v>10000</v>
      </c>
      <c r="H120" s="43">
        <v>10000</v>
      </c>
      <c r="I120" s="43">
        <v>287</v>
      </c>
      <c r="J120" s="43">
        <v>0</v>
      </c>
      <c r="K120" s="43">
        <v>304</v>
      </c>
      <c r="L120" s="43">
        <v>31.21</v>
      </c>
      <c r="M120" s="44">
        <f t="shared" si="3"/>
        <v>622.21</v>
      </c>
      <c r="N120" s="44">
        <f t="shared" si="4"/>
        <v>9377.7900000000009</v>
      </c>
      <c r="O120" s="88" t="s">
        <v>19</v>
      </c>
    </row>
    <row r="121" spans="1:15" s="91" customFormat="1" ht="18.75" customHeight="1" x14ac:dyDescent="0.25">
      <c r="A121" s="87"/>
      <c r="B121" s="88">
        <f t="shared" si="5"/>
        <v>117</v>
      </c>
      <c r="C121" s="89" t="s">
        <v>170</v>
      </c>
      <c r="D121" s="90" t="s">
        <v>59</v>
      </c>
      <c r="E121" s="89" t="s">
        <v>25</v>
      </c>
      <c r="F121" s="90" t="s">
        <v>62</v>
      </c>
      <c r="G121" s="43">
        <v>15000</v>
      </c>
      <c r="H121" s="43">
        <v>15000</v>
      </c>
      <c r="I121" s="43">
        <v>430.5</v>
      </c>
      <c r="J121" s="43">
        <v>0</v>
      </c>
      <c r="K121" s="43">
        <v>456</v>
      </c>
      <c r="L121" s="43">
        <f>31.21+1000+2203.34+2637.48</f>
        <v>5872.0300000000007</v>
      </c>
      <c r="M121" s="44">
        <f t="shared" si="3"/>
        <v>6758.5300000000007</v>
      </c>
      <c r="N121" s="44">
        <f t="shared" si="4"/>
        <v>8241.4699999999993</v>
      </c>
      <c r="O121" s="88" t="s">
        <v>23</v>
      </c>
    </row>
    <row r="122" spans="1:15" s="91" customFormat="1" x14ac:dyDescent="0.25">
      <c r="A122" s="87"/>
      <c r="B122" s="88">
        <f t="shared" si="5"/>
        <v>118</v>
      </c>
      <c r="C122" s="89" t="s">
        <v>171</v>
      </c>
      <c r="D122" s="90" t="s">
        <v>59</v>
      </c>
      <c r="E122" s="89" t="s">
        <v>25</v>
      </c>
      <c r="F122" s="90" t="s">
        <v>106</v>
      </c>
      <c r="G122" s="43">
        <v>15000</v>
      </c>
      <c r="H122" s="43">
        <v>15000</v>
      </c>
      <c r="I122" s="43">
        <v>430.5</v>
      </c>
      <c r="J122" s="43">
        <v>0</v>
      </c>
      <c r="K122" s="43">
        <v>456</v>
      </c>
      <c r="L122" s="43">
        <v>31.21</v>
      </c>
      <c r="M122" s="44">
        <f t="shared" si="3"/>
        <v>917.71</v>
      </c>
      <c r="N122" s="44">
        <f t="shared" si="4"/>
        <v>14082.29</v>
      </c>
      <c r="O122" s="88" t="s">
        <v>19</v>
      </c>
    </row>
    <row r="123" spans="1:15" s="91" customFormat="1" x14ac:dyDescent="0.25">
      <c r="A123" s="87"/>
      <c r="B123" s="88">
        <f t="shared" si="5"/>
        <v>119</v>
      </c>
      <c r="C123" s="89" t="s">
        <v>172</v>
      </c>
      <c r="D123" s="90" t="s">
        <v>59</v>
      </c>
      <c r="E123" s="89" t="s">
        <v>25</v>
      </c>
      <c r="F123" s="90" t="s">
        <v>106</v>
      </c>
      <c r="G123" s="43">
        <v>13000</v>
      </c>
      <c r="H123" s="43">
        <v>13000</v>
      </c>
      <c r="I123" s="43">
        <v>373.1</v>
      </c>
      <c r="J123" s="43">
        <v>0</v>
      </c>
      <c r="K123" s="43">
        <v>395.2</v>
      </c>
      <c r="L123" s="43">
        <v>31.21</v>
      </c>
      <c r="M123" s="44">
        <f t="shared" si="3"/>
        <v>799.51</v>
      </c>
      <c r="N123" s="44">
        <f t="shared" si="4"/>
        <v>12200.49</v>
      </c>
      <c r="O123" s="88" t="s">
        <v>19</v>
      </c>
    </row>
    <row r="124" spans="1:15" s="91" customFormat="1" ht="18.75" customHeight="1" x14ac:dyDescent="0.25">
      <c r="A124" s="87"/>
      <c r="B124" s="88">
        <f t="shared" si="5"/>
        <v>120</v>
      </c>
      <c r="C124" s="89" t="s">
        <v>173</v>
      </c>
      <c r="D124" s="90" t="s">
        <v>59</v>
      </c>
      <c r="E124" s="89" t="s">
        <v>25</v>
      </c>
      <c r="F124" s="90" t="s">
        <v>106</v>
      </c>
      <c r="G124" s="43">
        <v>13000</v>
      </c>
      <c r="H124" s="43">
        <v>13000</v>
      </c>
      <c r="I124" s="43">
        <v>373.1</v>
      </c>
      <c r="J124" s="43">
        <v>0</v>
      </c>
      <c r="K124" s="43">
        <v>395.2</v>
      </c>
      <c r="L124" s="43">
        <v>31.21</v>
      </c>
      <c r="M124" s="44">
        <f t="shared" si="3"/>
        <v>799.51</v>
      </c>
      <c r="N124" s="44">
        <f t="shared" si="4"/>
        <v>12200.49</v>
      </c>
      <c r="O124" s="88" t="s">
        <v>19</v>
      </c>
    </row>
    <row r="125" spans="1:15" s="91" customFormat="1" ht="20.25" customHeight="1" x14ac:dyDescent="0.25">
      <c r="A125" s="87"/>
      <c r="B125" s="88">
        <f t="shared" si="5"/>
        <v>121</v>
      </c>
      <c r="C125" s="89" t="s">
        <v>174</v>
      </c>
      <c r="D125" s="90" t="s">
        <v>59</v>
      </c>
      <c r="E125" s="89" t="s">
        <v>25</v>
      </c>
      <c r="F125" s="90" t="s">
        <v>150</v>
      </c>
      <c r="G125" s="43">
        <v>10000</v>
      </c>
      <c r="H125" s="43">
        <v>10000</v>
      </c>
      <c r="I125" s="43">
        <v>287</v>
      </c>
      <c r="J125" s="43">
        <v>0</v>
      </c>
      <c r="K125" s="43">
        <v>304</v>
      </c>
      <c r="L125" s="43">
        <v>31.21</v>
      </c>
      <c r="M125" s="44">
        <f t="shared" si="3"/>
        <v>622.21</v>
      </c>
      <c r="N125" s="44">
        <f t="shared" si="4"/>
        <v>9377.7900000000009</v>
      </c>
      <c r="O125" s="88" t="s">
        <v>19</v>
      </c>
    </row>
    <row r="126" spans="1:15" s="91" customFormat="1" x14ac:dyDescent="0.25">
      <c r="A126" s="87"/>
      <c r="B126" s="88">
        <f t="shared" si="5"/>
        <v>122</v>
      </c>
      <c r="C126" s="89" t="s">
        <v>175</v>
      </c>
      <c r="D126" s="90" t="s">
        <v>59</v>
      </c>
      <c r="E126" s="89" t="s">
        <v>25</v>
      </c>
      <c r="F126" s="90" t="s">
        <v>150</v>
      </c>
      <c r="G126" s="43">
        <v>10000</v>
      </c>
      <c r="H126" s="43">
        <v>10000</v>
      </c>
      <c r="I126" s="43">
        <v>287</v>
      </c>
      <c r="J126" s="43">
        <v>0</v>
      </c>
      <c r="K126" s="43">
        <v>304</v>
      </c>
      <c r="L126" s="43">
        <v>31.21</v>
      </c>
      <c r="M126" s="44">
        <f t="shared" si="3"/>
        <v>622.21</v>
      </c>
      <c r="N126" s="44">
        <f t="shared" si="4"/>
        <v>9377.7900000000009</v>
      </c>
      <c r="O126" s="88" t="s">
        <v>19</v>
      </c>
    </row>
    <row r="127" spans="1:15" s="91" customFormat="1" ht="18.75" customHeight="1" x14ac:dyDescent="0.25">
      <c r="A127" s="87"/>
      <c r="B127" s="88">
        <f t="shared" si="5"/>
        <v>123</v>
      </c>
      <c r="C127" s="89" t="s">
        <v>176</v>
      </c>
      <c r="D127" s="90" t="s">
        <v>59</v>
      </c>
      <c r="E127" s="89" t="s">
        <v>25</v>
      </c>
      <c r="F127" s="90" t="s">
        <v>106</v>
      </c>
      <c r="G127" s="43">
        <v>10000</v>
      </c>
      <c r="H127" s="43">
        <v>10000</v>
      </c>
      <c r="I127" s="43">
        <v>287</v>
      </c>
      <c r="J127" s="43">
        <v>0</v>
      </c>
      <c r="K127" s="43">
        <v>304</v>
      </c>
      <c r="L127" s="43">
        <v>31.21</v>
      </c>
      <c r="M127" s="44">
        <f t="shared" si="3"/>
        <v>622.21</v>
      </c>
      <c r="N127" s="44">
        <f t="shared" si="4"/>
        <v>9377.7900000000009</v>
      </c>
      <c r="O127" s="88" t="s">
        <v>19</v>
      </c>
    </row>
    <row r="128" spans="1:15" s="91" customFormat="1" ht="18" customHeight="1" x14ac:dyDescent="0.25">
      <c r="A128" s="87"/>
      <c r="B128" s="88">
        <f t="shared" si="5"/>
        <v>124</v>
      </c>
      <c r="C128" s="89" t="s">
        <v>177</v>
      </c>
      <c r="D128" s="90" t="s">
        <v>59</v>
      </c>
      <c r="E128" s="89" t="s">
        <v>25</v>
      </c>
      <c r="F128" s="90" t="s">
        <v>62</v>
      </c>
      <c r="G128" s="43">
        <v>10000</v>
      </c>
      <c r="H128" s="43">
        <v>10000</v>
      </c>
      <c r="I128" s="43">
        <v>287</v>
      </c>
      <c r="J128" s="43">
        <v>0</v>
      </c>
      <c r="K128" s="43">
        <v>304</v>
      </c>
      <c r="L128" s="43">
        <v>1744.67</v>
      </c>
      <c r="M128" s="44">
        <f t="shared" si="3"/>
        <v>2335.67</v>
      </c>
      <c r="N128" s="44">
        <f t="shared" si="4"/>
        <v>7664.33</v>
      </c>
      <c r="O128" s="88" t="s">
        <v>23</v>
      </c>
    </row>
    <row r="129" spans="1:15" s="91" customFormat="1" ht="18" customHeight="1" x14ac:dyDescent="0.25">
      <c r="A129" s="87"/>
      <c r="B129" s="88">
        <f t="shared" si="5"/>
        <v>125</v>
      </c>
      <c r="C129" s="89" t="s">
        <v>178</v>
      </c>
      <c r="D129" s="90" t="s">
        <v>59</v>
      </c>
      <c r="E129" s="89" t="s">
        <v>25</v>
      </c>
      <c r="F129" s="90" t="s">
        <v>150</v>
      </c>
      <c r="G129" s="43">
        <v>16500</v>
      </c>
      <c r="H129" s="43">
        <v>16500</v>
      </c>
      <c r="I129" s="43">
        <v>473.55</v>
      </c>
      <c r="J129" s="43">
        <v>0</v>
      </c>
      <c r="K129" s="43">
        <v>501.6</v>
      </c>
      <c r="L129" s="43">
        <v>151.21</v>
      </c>
      <c r="M129" s="44">
        <f t="shared" si="3"/>
        <v>1126.3600000000001</v>
      </c>
      <c r="N129" s="44">
        <f t="shared" si="4"/>
        <v>15373.64</v>
      </c>
      <c r="O129" s="88" t="s">
        <v>19</v>
      </c>
    </row>
    <row r="130" spans="1:15" s="91" customFormat="1" x14ac:dyDescent="0.25">
      <c r="A130" s="87"/>
      <c r="B130" s="88">
        <f t="shared" si="5"/>
        <v>126</v>
      </c>
      <c r="C130" s="89" t="s">
        <v>179</v>
      </c>
      <c r="D130" s="90" t="s">
        <v>59</v>
      </c>
      <c r="E130" s="89" t="s">
        <v>25</v>
      </c>
      <c r="F130" s="90" t="s">
        <v>62</v>
      </c>
      <c r="G130" s="43">
        <v>15000</v>
      </c>
      <c r="H130" s="43">
        <v>15000</v>
      </c>
      <c r="I130" s="43">
        <v>430.5</v>
      </c>
      <c r="J130" s="43">
        <v>0</v>
      </c>
      <c r="K130" s="43">
        <v>456</v>
      </c>
      <c r="L130" s="43">
        <v>31.21</v>
      </c>
      <c r="M130" s="44">
        <f t="shared" si="3"/>
        <v>917.71</v>
      </c>
      <c r="N130" s="44">
        <f t="shared" si="4"/>
        <v>14082.29</v>
      </c>
      <c r="O130" s="88" t="s">
        <v>23</v>
      </c>
    </row>
    <row r="131" spans="1:15" s="91" customFormat="1" x14ac:dyDescent="0.25">
      <c r="A131" s="87"/>
      <c r="B131" s="88">
        <f t="shared" si="5"/>
        <v>127</v>
      </c>
      <c r="C131" s="89" t="s">
        <v>180</v>
      </c>
      <c r="D131" s="90" t="s">
        <v>59</v>
      </c>
      <c r="E131" s="89" t="s">
        <v>25</v>
      </c>
      <c r="F131" s="90" t="s">
        <v>62</v>
      </c>
      <c r="G131" s="43">
        <v>10000</v>
      </c>
      <c r="H131" s="43">
        <v>10000</v>
      </c>
      <c r="I131" s="43">
        <v>287</v>
      </c>
      <c r="J131" s="43">
        <v>0</v>
      </c>
      <c r="K131" s="43">
        <v>304</v>
      </c>
      <c r="L131" s="43">
        <f>1039.64+31.21+1715.46</f>
        <v>2786.3100000000004</v>
      </c>
      <c r="M131" s="44">
        <f>+L131+K131+J131+I131</f>
        <v>3377.3100000000004</v>
      </c>
      <c r="N131" s="44">
        <f>+G131-M131</f>
        <v>6622.69</v>
      </c>
      <c r="O131" s="88" t="s">
        <v>23</v>
      </c>
    </row>
    <row r="132" spans="1:15" s="91" customFormat="1" x14ac:dyDescent="0.25">
      <c r="A132" s="87"/>
      <c r="B132" s="88">
        <f t="shared" si="5"/>
        <v>128</v>
      </c>
      <c r="C132" s="89" t="s">
        <v>181</v>
      </c>
      <c r="D132" s="90" t="s">
        <v>59</v>
      </c>
      <c r="E132" s="89" t="s">
        <v>25</v>
      </c>
      <c r="F132" s="90" t="s">
        <v>106</v>
      </c>
      <c r="G132" s="43">
        <v>13000</v>
      </c>
      <c r="H132" s="43">
        <v>13000</v>
      </c>
      <c r="I132" s="43">
        <v>373.1</v>
      </c>
      <c r="J132" s="43">
        <v>0</v>
      </c>
      <c r="K132" s="43">
        <v>395.2</v>
      </c>
      <c r="L132" s="43">
        <v>27.21</v>
      </c>
      <c r="M132" s="44">
        <f t="shared" ref="M132:M186" si="6">SUM(I132:L132)</f>
        <v>795.51</v>
      </c>
      <c r="N132" s="44">
        <f t="shared" ref="N132:N186" si="7">G132-M132</f>
        <v>12204.49</v>
      </c>
      <c r="O132" s="88" t="s">
        <v>19</v>
      </c>
    </row>
    <row r="133" spans="1:15" s="91" customFormat="1" x14ac:dyDescent="0.25">
      <c r="A133" s="87"/>
      <c r="B133" s="88">
        <f t="shared" si="5"/>
        <v>129</v>
      </c>
      <c r="C133" s="89" t="s">
        <v>182</v>
      </c>
      <c r="D133" s="90" t="s">
        <v>59</v>
      </c>
      <c r="E133" s="89" t="s">
        <v>25</v>
      </c>
      <c r="F133" s="90" t="s">
        <v>106</v>
      </c>
      <c r="G133" s="43">
        <v>10000</v>
      </c>
      <c r="H133" s="43">
        <v>10000</v>
      </c>
      <c r="I133" s="43">
        <v>287</v>
      </c>
      <c r="J133" s="43">
        <v>0</v>
      </c>
      <c r="K133" s="43">
        <v>304</v>
      </c>
      <c r="L133" s="43">
        <v>31.21</v>
      </c>
      <c r="M133" s="44">
        <f t="shared" si="6"/>
        <v>622.21</v>
      </c>
      <c r="N133" s="44">
        <f t="shared" si="7"/>
        <v>9377.7900000000009</v>
      </c>
      <c r="O133" s="88" t="s">
        <v>19</v>
      </c>
    </row>
    <row r="134" spans="1:15" s="91" customFormat="1" x14ac:dyDescent="0.25">
      <c r="A134" s="87"/>
      <c r="B134" s="88">
        <f t="shared" si="5"/>
        <v>130</v>
      </c>
      <c r="C134" s="89" t="s">
        <v>183</v>
      </c>
      <c r="D134" s="90" t="s">
        <v>59</v>
      </c>
      <c r="E134" s="89" t="s">
        <v>25</v>
      </c>
      <c r="F134" s="90" t="s">
        <v>106</v>
      </c>
      <c r="G134" s="43">
        <v>13000</v>
      </c>
      <c r="H134" s="43">
        <v>13000</v>
      </c>
      <c r="I134" s="43">
        <v>373.1</v>
      </c>
      <c r="J134" s="43">
        <v>0</v>
      </c>
      <c r="K134" s="43">
        <v>395.2</v>
      </c>
      <c r="L134" s="43">
        <v>29.21</v>
      </c>
      <c r="M134" s="44">
        <f t="shared" si="6"/>
        <v>797.51</v>
      </c>
      <c r="N134" s="44">
        <f t="shared" si="7"/>
        <v>12202.49</v>
      </c>
      <c r="O134" s="88" t="s">
        <v>19</v>
      </c>
    </row>
    <row r="135" spans="1:15" s="91" customFormat="1" x14ac:dyDescent="0.25">
      <c r="A135" s="87"/>
      <c r="B135" s="88">
        <f t="shared" si="5"/>
        <v>131</v>
      </c>
      <c r="C135" s="89" t="s">
        <v>184</v>
      </c>
      <c r="D135" s="90" t="s">
        <v>59</v>
      </c>
      <c r="E135" s="89" t="s">
        <v>25</v>
      </c>
      <c r="F135" s="90" t="s">
        <v>106</v>
      </c>
      <c r="G135" s="43">
        <v>10000</v>
      </c>
      <c r="H135" s="43">
        <v>10000</v>
      </c>
      <c r="I135" s="43">
        <v>287</v>
      </c>
      <c r="J135" s="43">
        <v>0</v>
      </c>
      <c r="K135" s="43">
        <v>304</v>
      </c>
      <c r="L135" s="43">
        <v>31.21</v>
      </c>
      <c r="M135" s="44">
        <f t="shared" si="6"/>
        <v>622.21</v>
      </c>
      <c r="N135" s="44">
        <f t="shared" si="7"/>
        <v>9377.7900000000009</v>
      </c>
      <c r="O135" s="88" t="s">
        <v>23</v>
      </c>
    </row>
    <row r="136" spans="1:15" s="91" customFormat="1" x14ac:dyDescent="0.25">
      <c r="A136" s="87"/>
      <c r="B136" s="88">
        <f t="shared" ref="B136:B196" si="8">+B135+1</f>
        <v>132</v>
      </c>
      <c r="C136" s="89" t="s">
        <v>636</v>
      </c>
      <c r="D136" s="90" t="s">
        <v>59</v>
      </c>
      <c r="E136" s="89" t="s">
        <v>25</v>
      </c>
      <c r="F136" s="90" t="s">
        <v>106</v>
      </c>
      <c r="G136" s="43">
        <v>13000</v>
      </c>
      <c r="H136" s="43">
        <v>13000</v>
      </c>
      <c r="I136" s="43">
        <v>373.1</v>
      </c>
      <c r="J136" s="43">
        <v>0</v>
      </c>
      <c r="K136" s="43">
        <v>395.2</v>
      </c>
      <c r="L136" s="43">
        <v>31.21</v>
      </c>
      <c r="M136" s="44">
        <f t="shared" si="6"/>
        <v>799.51</v>
      </c>
      <c r="N136" s="44">
        <f t="shared" si="7"/>
        <v>12200.49</v>
      </c>
      <c r="O136" s="88" t="s">
        <v>19</v>
      </c>
    </row>
    <row r="137" spans="1:15" s="91" customFormat="1" x14ac:dyDescent="0.25">
      <c r="A137" s="87"/>
      <c r="B137" s="88">
        <f t="shared" si="8"/>
        <v>133</v>
      </c>
      <c r="C137" s="89" t="s">
        <v>186</v>
      </c>
      <c r="D137" s="90" t="s">
        <v>59</v>
      </c>
      <c r="E137" s="89" t="s">
        <v>25</v>
      </c>
      <c r="F137" s="90" t="s">
        <v>106</v>
      </c>
      <c r="G137" s="43">
        <v>10000</v>
      </c>
      <c r="H137" s="43">
        <v>10000</v>
      </c>
      <c r="I137" s="43">
        <v>287</v>
      </c>
      <c r="J137" s="43">
        <v>0</v>
      </c>
      <c r="K137" s="43">
        <v>304</v>
      </c>
      <c r="L137" s="43">
        <v>0</v>
      </c>
      <c r="M137" s="44">
        <f t="shared" si="6"/>
        <v>591</v>
      </c>
      <c r="N137" s="44">
        <f t="shared" si="7"/>
        <v>9409</v>
      </c>
      <c r="O137" s="88" t="s">
        <v>19</v>
      </c>
    </row>
    <row r="138" spans="1:15" s="91" customFormat="1" x14ac:dyDescent="0.25">
      <c r="A138" s="87"/>
      <c r="B138" s="88">
        <f t="shared" si="8"/>
        <v>134</v>
      </c>
      <c r="C138" s="89" t="s">
        <v>187</v>
      </c>
      <c r="D138" s="90" t="s">
        <v>59</v>
      </c>
      <c r="E138" s="89" t="s">
        <v>25</v>
      </c>
      <c r="F138" s="90" t="s">
        <v>62</v>
      </c>
      <c r="G138" s="43">
        <v>15000</v>
      </c>
      <c r="H138" s="43">
        <v>15000</v>
      </c>
      <c r="I138" s="43">
        <v>430.5</v>
      </c>
      <c r="J138" s="43">
        <v>0</v>
      </c>
      <c r="K138" s="43">
        <v>456</v>
      </c>
      <c r="L138" s="43">
        <v>1746.67</v>
      </c>
      <c r="M138" s="44">
        <f t="shared" si="6"/>
        <v>2633.17</v>
      </c>
      <c r="N138" s="44">
        <f t="shared" si="7"/>
        <v>12366.83</v>
      </c>
      <c r="O138" s="88" t="s">
        <v>23</v>
      </c>
    </row>
    <row r="139" spans="1:15" s="91" customFormat="1" x14ac:dyDescent="0.25">
      <c r="A139" s="87"/>
      <c r="B139" s="88">
        <f t="shared" si="8"/>
        <v>135</v>
      </c>
      <c r="C139" s="89" t="s">
        <v>188</v>
      </c>
      <c r="D139" s="90" t="s">
        <v>59</v>
      </c>
      <c r="E139" s="89" t="s">
        <v>25</v>
      </c>
      <c r="F139" s="90" t="s">
        <v>62</v>
      </c>
      <c r="G139" s="43">
        <v>15000</v>
      </c>
      <c r="H139" s="43">
        <v>15000</v>
      </c>
      <c r="I139" s="43">
        <v>430.5</v>
      </c>
      <c r="J139" s="43">
        <v>0</v>
      </c>
      <c r="K139" s="43">
        <v>456</v>
      </c>
      <c r="L139" s="43">
        <v>8799.4500000000007</v>
      </c>
      <c r="M139" s="44">
        <f>I139+J139+K139+L139</f>
        <v>9685.9500000000007</v>
      </c>
      <c r="N139" s="44">
        <f t="shared" si="7"/>
        <v>5314.0499999999993</v>
      </c>
      <c r="O139" s="88" t="s">
        <v>23</v>
      </c>
    </row>
    <row r="140" spans="1:15" s="91" customFormat="1" x14ac:dyDescent="0.25">
      <c r="A140" s="87"/>
      <c r="B140" s="88">
        <f t="shared" si="8"/>
        <v>136</v>
      </c>
      <c r="C140" s="89" t="s">
        <v>189</v>
      </c>
      <c r="D140" s="90" t="s">
        <v>59</v>
      </c>
      <c r="E140" s="89" t="s">
        <v>25</v>
      </c>
      <c r="F140" s="90" t="s">
        <v>62</v>
      </c>
      <c r="G140" s="43">
        <v>10000</v>
      </c>
      <c r="H140" s="43">
        <v>10000</v>
      </c>
      <c r="I140" s="43">
        <v>287</v>
      </c>
      <c r="J140" s="43">
        <v>0</v>
      </c>
      <c r="K140" s="43">
        <v>304</v>
      </c>
      <c r="L140" s="43">
        <v>31.21</v>
      </c>
      <c r="M140" s="44">
        <f t="shared" si="6"/>
        <v>622.21</v>
      </c>
      <c r="N140" s="44">
        <f t="shared" si="7"/>
        <v>9377.7900000000009</v>
      </c>
      <c r="O140" s="88" t="s">
        <v>23</v>
      </c>
    </row>
    <row r="141" spans="1:15" s="91" customFormat="1" x14ac:dyDescent="0.25">
      <c r="A141" s="87"/>
      <c r="B141" s="88">
        <f t="shared" si="8"/>
        <v>137</v>
      </c>
      <c r="C141" s="89" t="s">
        <v>190</v>
      </c>
      <c r="D141" s="90" t="s">
        <v>59</v>
      </c>
      <c r="E141" s="89" t="s">
        <v>25</v>
      </c>
      <c r="F141" s="90" t="s">
        <v>150</v>
      </c>
      <c r="G141" s="43">
        <v>20000</v>
      </c>
      <c r="H141" s="43">
        <v>20000</v>
      </c>
      <c r="I141" s="43">
        <v>574</v>
      </c>
      <c r="J141" s="43">
        <v>0</v>
      </c>
      <c r="K141" s="43">
        <v>608</v>
      </c>
      <c r="L141" s="43">
        <v>1031.21</v>
      </c>
      <c r="M141" s="44">
        <f t="shared" si="6"/>
        <v>2213.21</v>
      </c>
      <c r="N141" s="44">
        <f t="shared" si="7"/>
        <v>17786.79</v>
      </c>
      <c r="O141" s="88" t="s">
        <v>19</v>
      </c>
    </row>
    <row r="142" spans="1:15" s="91" customFormat="1" x14ac:dyDescent="0.25">
      <c r="A142" s="87"/>
      <c r="B142" s="88">
        <f t="shared" si="8"/>
        <v>138</v>
      </c>
      <c r="C142" s="89" t="s">
        <v>191</v>
      </c>
      <c r="D142" s="90" t="s">
        <v>59</v>
      </c>
      <c r="E142" s="89" t="s">
        <v>25</v>
      </c>
      <c r="F142" s="90" t="s">
        <v>62</v>
      </c>
      <c r="G142" s="43">
        <v>15000</v>
      </c>
      <c r="H142" s="43">
        <v>15000</v>
      </c>
      <c r="I142" s="43">
        <v>430.5</v>
      </c>
      <c r="J142" s="43">
        <v>0</v>
      </c>
      <c r="K142" s="43">
        <v>456</v>
      </c>
      <c r="L142" s="43">
        <v>31.21</v>
      </c>
      <c r="M142" s="44">
        <f t="shared" si="6"/>
        <v>917.71</v>
      </c>
      <c r="N142" s="44">
        <f t="shared" si="7"/>
        <v>14082.29</v>
      </c>
      <c r="O142" s="88" t="s">
        <v>23</v>
      </c>
    </row>
    <row r="143" spans="1:15" s="91" customFormat="1" x14ac:dyDescent="0.25">
      <c r="A143" s="87"/>
      <c r="B143" s="88">
        <f t="shared" si="8"/>
        <v>139</v>
      </c>
      <c r="C143" s="89" t="s">
        <v>192</v>
      </c>
      <c r="D143" s="90" t="s">
        <v>59</v>
      </c>
      <c r="E143" s="89" t="s">
        <v>25</v>
      </c>
      <c r="F143" s="90" t="s">
        <v>75</v>
      </c>
      <c r="G143" s="43">
        <v>12650</v>
      </c>
      <c r="H143" s="43">
        <v>12650</v>
      </c>
      <c r="I143" s="43">
        <v>363.06</v>
      </c>
      <c r="J143" s="43">
        <v>0</v>
      </c>
      <c r="K143" s="43">
        <v>384.56</v>
      </c>
      <c r="L143" s="43">
        <v>6068.58</v>
      </c>
      <c r="M143" s="44">
        <f t="shared" si="6"/>
        <v>6816.2</v>
      </c>
      <c r="N143" s="44">
        <f t="shared" si="7"/>
        <v>5833.8</v>
      </c>
      <c r="O143" s="88" t="s">
        <v>23</v>
      </c>
    </row>
    <row r="144" spans="1:15" s="91" customFormat="1" x14ac:dyDescent="0.25">
      <c r="A144" s="87"/>
      <c r="B144" s="88">
        <f t="shared" si="8"/>
        <v>140</v>
      </c>
      <c r="C144" s="89" t="s">
        <v>193</v>
      </c>
      <c r="D144" s="90" t="s">
        <v>59</v>
      </c>
      <c r="E144" s="89" t="s">
        <v>25</v>
      </c>
      <c r="F144" s="90" t="s">
        <v>106</v>
      </c>
      <c r="G144" s="43">
        <v>13000</v>
      </c>
      <c r="H144" s="43">
        <v>13000</v>
      </c>
      <c r="I144" s="43">
        <v>373.1</v>
      </c>
      <c r="J144" s="43">
        <v>0</v>
      </c>
      <c r="K144" s="43">
        <v>395.2</v>
      </c>
      <c r="L144" s="43">
        <v>0</v>
      </c>
      <c r="M144" s="44">
        <f t="shared" si="6"/>
        <v>768.3</v>
      </c>
      <c r="N144" s="44">
        <f t="shared" si="7"/>
        <v>12231.7</v>
      </c>
      <c r="O144" s="88" t="s">
        <v>19</v>
      </c>
    </row>
    <row r="145" spans="1:15" s="91" customFormat="1" ht="18.75" customHeight="1" x14ac:dyDescent="0.25">
      <c r="A145" s="87"/>
      <c r="B145" s="88">
        <f t="shared" si="8"/>
        <v>141</v>
      </c>
      <c r="C145" s="89" t="s">
        <v>194</v>
      </c>
      <c r="D145" s="90" t="s">
        <v>59</v>
      </c>
      <c r="E145" s="89" t="s">
        <v>25</v>
      </c>
      <c r="F145" s="90" t="s">
        <v>28</v>
      </c>
      <c r="G145" s="43">
        <v>16458.2</v>
      </c>
      <c r="H145" s="43">
        <v>16458.2</v>
      </c>
      <c r="I145" s="43">
        <v>472.35</v>
      </c>
      <c r="J145" s="43">
        <v>0</v>
      </c>
      <c r="K145" s="43">
        <v>500.33</v>
      </c>
      <c r="L145" s="43">
        <v>4546.26</v>
      </c>
      <c r="M145" s="44">
        <f>+L145+K145+J145+I145</f>
        <v>5518.9400000000005</v>
      </c>
      <c r="N145" s="44">
        <f>+G145-M145</f>
        <v>10939.26</v>
      </c>
      <c r="O145" s="88" t="s">
        <v>23</v>
      </c>
    </row>
    <row r="146" spans="1:15" s="91" customFormat="1" ht="18" customHeight="1" x14ac:dyDescent="0.25">
      <c r="A146" s="87"/>
      <c r="B146" s="88">
        <f t="shared" si="8"/>
        <v>142</v>
      </c>
      <c r="C146" s="89" t="s">
        <v>195</v>
      </c>
      <c r="D146" s="90" t="s">
        <v>59</v>
      </c>
      <c r="E146" s="89" t="s">
        <v>25</v>
      </c>
      <c r="F146" s="90" t="s">
        <v>62</v>
      </c>
      <c r="G146" s="43">
        <v>15000</v>
      </c>
      <c r="H146" s="43">
        <v>15000</v>
      </c>
      <c r="I146" s="43">
        <v>430.5</v>
      </c>
      <c r="J146" s="43">
        <v>0</v>
      </c>
      <c r="K146" s="43">
        <v>456</v>
      </c>
      <c r="L146" s="43">
        <v>6842.67</v>
      </c>
      <c r="M146" s="44">
        <f t="shared" si="6"/>
        <v>7729.17</v>
      </c>
      <c r="N146" s="44">
        <f t="shared" si="7"/>
        <v>7270.83</v>
      </c>
      <c r="O146" s="88" t="s">
        <v>23</v>
      </c>
    </row>
    <row r="147" spans="1:15" s="91" customFormat="1" ht="19.5" customHeight="1" x14ac:dyDescent="0.25">
      <c r="A147" s="87"/>
      <c r="B147" s="88">
        <f t="shared" si="8"/>
        <v>143</v>
      </c>
      <c r="C147" s="89" t="s">
        <v>196</v>
      </c>
      <c r="D147" s="90" t="s">
        <v>59</v>
      </c>
      <c r="E147" s="89" t="s">
        <v>25</v>
      </c>
      <c r="F147" s="90" t="s">
        <v>62</v>
      </c>
      <c r="G147" s="43">
        <v>15000</v>
      </c>
      <c r="H147" s="43">
        <v>15000</v>
      </c>
      <c r="I147" s="43">
        <v>430.5</v>
      </c>
      <c r="J147" s="43">
        <v>0</v>
      </c>
      <c r="K147" s="43">
        <v>456</v>
      </c>
      <c r="L147" s="43">
        <v>31.21</v>
      </c>
      <c r="M147" s="44">
        <f t="shared" si="6"/>
        <v>917.71</v>
      </c>
      <c r="N147" s="44">
        <f t="shared" si="7"/>
        <v>14082.29</v>
      </c>
      <c r="O147" s="88" t="s">
        <v>23</v>
      </c>
    </row>
    <row r="148" spans="1:15" s="91" customFormat="1" ht="19.5" customHeight="1" x14ac:dyDescent="0.25">
      <c r="A148" s="87"/>
      <c r="B148" s="88">
        <f t="shared" si="8"/>
        <v>144</v>
      </c>
      <c r="C148" s="89" t="s">
        <v>197</v>
      </c>
      <c r="D148" s="90" t="s">
        <v>59</v>
      </c>
      <c r="E148" s="89" t="s">
        <v>25</v>
      </c>
      <c r="F148" s="90" t="s">
        <v>106</v>
      </c>
      <c r="G148" s="43">
        <v>13000</v>
      </c>
      <c r="H148" s="43">
        <v>13000</v>
      </c>
      <c r="I148" s="43">
        <v>373.1</v>
      </c>
      <c r="J148" s="43">
        <v>0</v>
      </c>
      <c r="K148" s="43">
        <v>395.2</v>
      </c>
      <c r="L148" s="43">
        <v>31.21</v>
      </c>
      <c r="M148" s="44">
        <f t="shared" si="6"/>
        <v>799.51</v>
      </c>
      <c r="N148" s="44">
        <f t="shared" si="7"/>
        <v>12200.49</v>
      </c>
      <c r="O148" s="88" t="s">
        <v>19</v>
      </c>
    </row>
    <row r="149" spans="1:15" s="91" customFormat="1" x14ac:dyDescent="0.25">
      <c r="A149" s="87"/>
      <c r="B149" s="88">
        <f t="shared" si="8"/>
        <v>145</v>
      </c>
      <c r="C149" s="89" t="s">
        <v>198</v>
      </c>
      <c r="D149" s="90" t="s">
        <v>59</v>
      </c>
      <c r="E149" s="89" t="s">
        <v>25</v>
      </c>
      <c r="F149" s="90" t="s">
        <v>150</v>
      </c>
      <c r="G149" s="43">
        <v>18000</v>
      </c>
      <c r="H149" s="43">
        <v>18000</v>
      </c>
      <c r="I149" s="43">
        <v>516.6</v>
      </c>
      <c r="J149" s="43">
        <v>0</v>
      </c>
      <c r="K149" s="43">
        <v>547.20000000000005</v>
      </c>
      <c r="L149" s="43">
        <v>31.21</v>
      </c>
      <c r="M149" s="44">
        <f t="shared" si="6"/>
        <v>1095.0100000000002</v>
      </c>
      <c r="N149" s="44">
        <f t="shared" si="7"/>
        <v>16904.989999999998</v>
      </c>
      <c r="O149" s="88" t="s">
        <v>19</v>
      </c>
    </row>
    <row r="150" spans="1:15" s="91" customFormat="1" x14ac:dyDescent="0.25">
      <c r="A150" s="87"/>
      <c r="B150" s="88">
        <f t="shared" si="8"/>
        <v>146</v>
      </c>
      <c r="C150" s="89" t="s">
        <v>199</v>
      </c>
      <c r="D150" s="90" t="s">
        <v>59</v>
      </c>
      <c r="E150" s="89" t="s">
        <v>25</v>
      </c>
      <c r="F150" s="90" t="s">
        <v>62</v>
      </c>
      <c r="G150" s="43">
        <v>15000</v>
      </c>
      <c r="H150" s="43">
        <v>15000</v>
      </c>
      <c r="I150" s="43">
        <v>430.5</v>
      </c>
      <c r="J150" s="43">
        <v>0</v>
      </c>
      <c r="K150" s="43">
        <v>456</v>
      </c>
      <c r="L150" s="43">
        <f>31.21+1000</f>
        <v>1031.21</v>
      </c>
      <c r="M150" s="44">
        <f t="shared" si="6"/>
        <v>1917.71</v>
      </c>
      <c r="N150" s="44">
        <f t="shared" si="7"/>
        <v>13082.29</v>
      </c>
      <c r="O150" s="88" t="s">
        <v>23</v>
      </c>
    </row>
    <row r="151" spans="1:15" s="91" customFormat="1" ht="15" customHeight="1" x14ac:dyDescent="0.25">
      <c r="A151" s="87"/>
      <c r="B151" s="88">
        <f t="shared" si="8"/>
        <v>147</v>
      </c>
      <c r="C151" s="89" t="s">
        <v>632</v>
      </c>
      <c r="D151" s="90" t="s">
        <v>59</v>
      </c>
      <c r="E151" s="89" t="s">
        <v>25</v>
      </c>
      <c r="F151" s="90" t="s">
        <v>201</v>
      </c>
      <c r="G151" s="43">
        <v>15000</v>
      </c>
      <c r="H151" s="43">
        <v>15000</v>
      </c>
      <c r="I151" s="43">
        <v>430.5</v>
      </c>
      <c r="J151" s="43">
        <v>0</v>
      </c>
      <c r="K151" s="43">
        <v>456</v>
      </c>
      <c r="L151" s="43">
        <v>31.21</v>
      </c>
      <c r="M151" s="44">
        <f t="shared" si="6"/>
        <v>917.71</v>
      </c>
      <c r="N151" s="44">
        <f t="shared" si="7"/>
        <v>14082.29</v>
      </c>
      <c r="O151" s="88" t="s">
        <v>19</v>
      </c>
    </row>
    <row r="152" spans="1:15" s="91" customFormat="1" x14ac:dyDescent="0.25">
      <c r="A152" s="87"/>
      <c r="B152" s="88">
        <f t="shared" si="8"/>
        <v>148</v>
      </c>
      <c r="C152" s="89" t="s">
        <v>202</v>
      </c>
      <c r="D152" s="90" t="s">
        <v>59</v>
      </c>
      <c r="E152" s="89" t="s">
        <v>25</v>
      </c>
      <c r="F152" s="90" t="s">
        <v>69</v>
      </c>
      <c r="G152" s="43">
        <v>23000</v>
      </c>
      <c r="H152" s="43">
        <v>23000</v>
      </c>
      <c r="I152" s="43">
        <v>660.1</v>
      </c>
      <c r="J152" s="43">
        <v>0</v>
      </c>
      <c r="K152" s="43">
        <v>699.2</v>
      </c>
      <c r="L152" s="43">
        <v>10585.74</v>
      </c>
      <c r="M152" s="44">
        <f t="shared" si="6"/>
        <v>11945.04</v>
      </c>
      <c r="N152" s="44">
        <f t="shared" si="7"/>
        <v>11054.96</v>
      </c>
      <c r="O152" s="88" t="s">
        <v>23</v>
      </c>
    </row>
    <row r="153" spans="1:15" s="91" customFormat="1" ht="19.5" customHeight="1" x14ac:dyDescent="0.25">
      <c r="A153" s="87"/>
      <c r="B153" s="88">
        <f t="shared" si="8"/>
        <v>149</v>
      </c>
      <c r="C153" s="89" t="s">
        <v>203</v>
      </c>
      <c r="D153" s="90" t="s">
        <v>59</v>
      </c>
      <c r="E153" s="89" t="s">
        <v>21</v>
      </c>
      <c r="F153" s="90" t="s">
        <v>204</v>
      </c>
      <c r="G153" s="43">
        <v>39500</v>
      </c>
      <c r="H153" s="43">
        <v>39500</v>
      </c>
      <c r="I153" s="43">
        <v>1133.6500000000001</v>
      </c>
      <c r="J153" s="43">
        <v>114.76</v>
      </c>
      <c r="K153" s="43">
        <v>1200.8</v>
      </c>
      <c r="L153" s="43">
        <v>1715.46</v>
      </c>
      <c r="M153" s="44">
        <f t="shared" si="6"/>
        <v>4164.67</v>
      </c>
      <c r="N153" s="44">
        <f t="shared" si="7"/>
        <v>35335.33</v>
      </c>
      <c r="O153" s="88" t="s">
        <v>23</v>
      </c>
    </row>
    <row r="154" spans="1:15" s="91" customFormat="1" x14ac:dyDescent="0.25">
      <c r="A154" s="87"/>
      <c r="B154" s="88">
        <f t="shared" si="8"/>
        <v>150</v>
      </c>
      <c r="C154" s="89" t="s">
        <v>205</v>
      </c>
      <c r="D154" s="90" t="s">
        <v>59</v>
      </c>
      <c r="E154" s="89" t="s">
        <v>25</v>
      </c>
      <c r="F154" s="90" t="s">
        <v>106</v>
      </c>
      <c r="G154" s="43">
        <v>13000</v>
      </c>
      <c r="H154" s="43">
        <v>13000</v>
      </c>
      <c r="I154" s="43">
        <v>373.1</v>
      </c>
      <c r="J154" s="43">
        <v>0</v>
      </c>
      <c r="K154" s="43">
        <v>395.2</v>
      </c>
      <c r="L154" s="43">
        <v>0</v>
      </c>
      <c r="M154" s="44">
        <f t="shared" si="6"/>
        <v>768.3</v>
      </c>
      <c r="N154" s="44">
        <f t="shared" si="7"/>
        <v>12231.7</v>
      </c>
      <c r="O154" s="88" t="s">
        <v>19</v>
      </c>
    </row>
    <row r="155" spans="1:15" s="91" customFormat="1" x14ac:dyDescent="0.25">
      <c r="A155" s="87"/>
      <c r="B155" s="88">
        <f t="shared" si="8"/>
        <v>151</v>
      </c>
      <c r="C155" s="89" t="s">
        <v>206</v>
      </c>
      <c r="D155" s="90" t="s">
        <v>59</v>
      </c>
      <c r="E155" s="89" t="s">
        <v>25</v>
      </c>
      <c r="F155" s="90" t="s">
        <v>66</v>
      </c>
      <c r="G155" s="43">
        <v>10000</v>
      </c>
      <c r="H155" s="43">
        <v>10000</v>
      </c>
      <c r="I155" s="43">
        <v>287</v>
      </c>
      <c r="J155" s="43">
        <v>0</v>
      </c>
      <c r="K155" s="43">
        <v>304</v>
      </c>
      <c r="L155" s="43">
        <v>0</v>
      </c>
      <c r="M155" s="44">
        <f t="shared" si="6"/>
        <v>591</v>
      </c>
      <c r="N155" s="44">
        <f t="shared" si="7"/>
        <v>9409</v>
      </c>
      <c r="O155" s="88" t="s">
        <v>19</v>
      </c>
    </row>
    <row r="156" spans="1:15" s="91" customFormat="1" x14ac:dyDescent="0.25">
      <c r="A156" s="87"/>
      <c r="B156" s="88">
        <f t="shared" si="8"/>
        <v>152</v>
      </c>
      <c r="C156" s="89" t="s">
        <v>207</v>
      </c>
      <c r="D156" s="90" t="s">
        <v>59</v>
      </c>
      <c r="E156" s="89" t="s">
        <v>25</v>
      </c>
      <c r="F156" s="90" t="s">
        <v>146</v>
      </c>
      <c r="G156" s="43">
        <v>13500</v>
      </c>
      <c r="H156" s="43">
        <v>13500</v>
      </c>
      <c r="I156" s="43">
        <v>387.45</v>
      </c>
      <c r="J156" s="43">
        <v>0</v>
      </c>
      <c r="K156" s="43">
        <v>410.4</v>
      </c>
      <c r="L156" s="43">
        <v>961.21</v>
      </c>
      <c r="M156" s="44">
        <f t="shared" si="6"/>
        <v>1759.06</v>
      </c>
      <c r="N156" s="44">
        <f t="shared" si="7"/>
        <v>11740.94</v>
      </c>
      <c r="O156" s="88" t="s">
        <v>19</v>
      </c>
    </row>
    <row r="157" spans="1:15" s="91" customFormat="1" x14ac:dyDescent="0.25">
      <c r="A157" s="87"/>
      <c r="B157" s="88">
        <f t="shared" si="8"/>
        <v>153</v>
      </c>
      <c r="C157" s="89" t="s">
        <v>208</v>
      </c>
      <c r="D157" s="90" t="s">
        <v>59</v>
      </c>
      <c r="E157" s="89" t="s">
        <v>25</v>
      </c>
      <c r="F157" s="90" t="s">
        <v>28</v>
      </c>
      <c r="G157" s="43">
        <v>22000</v>
      </c>
      <c r="H157" s="43">
        <v>22000</v>
      </c>
      <c r="I157" s="43">
        <v>631.4</v>
      </c>
      <c r="J157" s="43">
        <v>0</v>
      </c>
      <c r="K157" s="43">
        <v>668.8</v>
      </c>
      <c r="L157" s="43">
        <f>31.21+500</f>
        <v>531.21</v>
      </c>
      <c r="M157" s="44">
        <f t="shared" si="6"/>
        <v>1831.4099999999999</v>
      </c>
      <c r="N157" s="44">
        <f t="shared" si="7"/>
        <v>20168.59</v>
      </c>
      <c r="O157" s="88" t="s">
        <v>23</v>
      </c>
    </row>
    <row r="158" spans="1:15" s="91" customFormat="1" x14ac:dyDescent="0.25">
      <c r="A158" s="87"/>
      <c r="B158" s="88">
        <f t="shared" si="8"/>
        <v>154</v>
      </c>
      <c r="C158" s="89" t="s">
        <v>209</v>
      </c>
      <c r="D158" s="90" t="s">
        <v>59</v>
      </c>
      <c r="E158" s="89" t="s">
        <v>25</v>
      </c>
      <c r="F158" s="90" t="s">
        <v>28</v>
      </c>
      <c r="G158" s="43">
        <v>20000</v>
      </c>
      <c r="H158" s="43">
        <v>20000</v>
      </c>
      <c r="I158" s="43">
        <v>574</v>
      </c>
      <c r="J158" s="43">
        <v>0</v>
      </c>
      <c r="K158" s="43">
        <v>608</v>
      </c>
      <c r="L158" s="43">
        <v>31.21</v>
      </c>
      <c r="M158" s="44">
        <f t="shared" si="6"/>
        <v>1213.21</v>
      </c>
      <c r="N158" s="44">
        <f t="shared" si="7"/>
        <v>18786.79</v>
      </c>
      <c r="O158" s="88" t="s">
        <v>23</v>
      </c>
    </row>
    <row r="159" spans="1:15" s="39" customFormat="1" x14ac:dyDescent="0.25">
      <c r="A159" s="12"/>
      <c r="B159" s="81">
        <f t="shared" si="8"/>
        <v>155</v>
      </c>
      <c r="C159" s="82" t="s">
        <v>210</v>
      </c>
      <c r="D159" s="83" t="s">
        <v>59</v>
      </c>
      <c r="E159" s="82" t="s">
        <v>25</v>
      </c>
      <c r="F159" s="83" t="s">
        <v>150</v>
      </c>
      <c r="G159" s="84">
        <v>20000</v>
      </c>
      <c r="H159" s="84">
        <v>20000</v>
      </c>
      <c r="I159" s="84">
        <v>574</v>
      </c>
      <c r="J159" s="84">
        <v>0</v>
      </c>
      <c r="K159" s="84">
        <v>608</v>
      </c>
      <c r="L159" s="84">
        <v>2027.21</v>
      </c>
      <c r="M159" s="85">
        <f t="shared" si="6"/>
        <v>3209.21</v>
      </c>
      <c r="N159" s="85">
        <f t="shared" si="7"/>
        <v>16790.79</v>
      </c>
      <c r="O159" s="81" t="s">
        <v>19</v>
      </c>
    </row>
    <row r="160" spans="1:15" s="91" customFormat="1" x14ac:dyDescent="0.25">
      <c r="A160" s="87"/>
      <c r="B160" s="88">
        <f t="shared" si="8"/>
        <v>156</v>
      </c>
      <c r="C160" s="89" t="s">
        <v>211</v>
      </c>
      <c r="D160" s="90" t="s">
        <v>59</v>
      </c>
      <c r="E160" s="89" t="s">
        <v>25</v>
      </c>
      <c r="F160" s="90" t="s">
        <v>62</v>
      </c>
      <c r="G160" s="43">
        <v>15000</v>
      </c>
      <c r="H160" s="43">
        <v>15000</v>
      </c>
      <c r="I160" s="43">
        <v>430.5</v>
      </c>
      <c r="J160" s="43">
        <v>0</v>
      </c>
      <c r="K160" s="43">
        <v>456</v>
      </c>
      <c r="L160" s="43">
        <v>0</v>
      </c>
      <c r="M160" s="44">
        <f t="shared" si="6"/>
        <v>886.5</v>
      </c>
      <c r="N160" s="44">
        <f t="shared" si="7"/>
        <v>14113.5</v>
      </c>
      <c r="O160" s="88" t="s">
        <v>23</v>
      </c>
    </row>
    <row r="161" spans="1:15" s="91" customFormat="1" x14ac:dyDescent="0.25">
      <c r="A161" s="87"/>
      <c r="B161" s="88">
        <f t="shared" si="8"/>
        <v>157</v>
      </c>
      <c r="C161" s="89" t="s">
        <v>212</v>
      </c>
      <c r="D161" s="90" t="s">
        <v>59</v>
      </c>
      <c r="E161" s="89" t="s">
        <v>25</v>
      </c>
      <c r="F161" s="90" t="s">
        <v>146</v>
      </c>
      <c r="G161" s="43">
        <v>15000</v>
      </c>
      <c r="H161" s="43">
        <v>15000</v>
      </c>
      <c r="I161" s="43">
        <v>430.5</v>
      </c>
      <c r="J161" s="43">
        <v>0</v>
      </c>
      <c r="K161" s="43">
        <v>456</v>
      </c>
      <c r="L161" s="43">
        <v>0</v>
      </c>
      <c r="M161" s="44">
        <f t="shared" si="6"/>
        <v>886.5</v>
      </c>
      <c r="N161" s="44">
        <f t="shared" si="7"/>
        <v>14113.5</v>
      </c>
      <c r="O161" s="88" t="s">
        <v>19</v>
      </c>
    </row>
    <row r="162" spans="1:15" s="91" customFormat="1" x14ac:dyDescent="0.25">
      <c r="A162" s="87"/>
      <c r="B162" s="88">
        <f t="shared" si="8"/>
        <v>158</v>
      </c>
      <c r="C162" s="89" t="s">
        <v>213</v>
      </c>
      <c r="D162" s="90" t="s">
        <v>59</v>
      </c>
      <c r="E162" s="89" t="s">
        <v>25</v>
      </c>
      <c r="F162" s="90" t="s">
        <v>62</v>
      </c>
      <c r="G162" s="43">
        <v>15000</v>
      </c>
      <c r="H162" s="43">
        <v>15000</v>
      </c>
      <c r="I162" s="43">
        <v>430.5</v>
      </c>
      <c r="J162" s="43">
        <v>0</v>
      </c>
      <c r="K162" s="43">
        <v>456</v>
      </c>
      <c r="L162" s="43">
        <v>0</v>
      </c>
      <c r="M162" s="44">
        <f t="shared" si="6"/>
        <v>886.5</v>
      </c>
      <c r="N162" s="44">
        <f t="shared" si="7"/>
        <v>14113.5</v>
      </c>
      <c r="O162" s="88" t="s">
        <v>23</v>
      </c>
    </row>
    <row r="163" spans="1:15" s="91" customFormat="1" x14ac:dyDescent="0.25">
      <c r="A163" s="87"/>
      <c r="B163" s="88">
        <f t="shared" si="8"/>
        <v>159</v>
      </c>
      <c r="C163" s="89" t="s">
        <v>214</v>
      </c>
      <c r="D163" s="90" t="s">
        <v>59</v>
      </c>
      <c r="E163" s="89" t="s">
        <v>25</v>
      </c>
      <c r="F163" s="90" t="s">
        <v>62</v>
      </c>
      <c r="G163" s="43">
        <v>15000</v>
      </c>
      <c r="H163" s="43">
        <v>15000</v>
      </c>
      <c r="I163" s="43">
        <v>430.5</v>
      </c>
      <c r="J163" s="43">
        <v>0</v>
      </c>
      <c r="K163" s="43">
        <v>456</v>
      </c>
      <c r="L163" s="43">
        <v>0</v>
      </c>
      <c r="M163" s="44">
        <f t="shared" si="6"/>
        <v>886.5</v>
      </c>
      <c r="N163" s="44">
        <f t="shared" si="7"/>
        <v>14113.5</v>
      </c>
      <c r="O163" s="88" t="s">
        <v>23</v>
      </c>
    </row>
    <row r="164" spans="1:15" s="91" customFormat="1" x14ac:dyDescent="0.25">
      <c r="A164" s="87"/>
      <c r="B164" s="88">
        <f t="shared" si="8"/>
        <v>160</v>
      </c>
      <c r="C164" s="89" t="s">
        <v>215</v>
      </c>
      <c r="D164" s="90" t="s">
        <v>59</v>
      </c>
      <c r="E164" s="89" t="s">
        <v>25</v>
      </c>
      <c r="F164" s="90" t="s">
        <v>45</v>
      </c>
      <c r="G164" s="43">
        <v>30000</v>
      </c>
      <c r="H164" s="43">
        <v>30000</v>
      </c>
      <c r="I164" s="43">
        <v>861</v>
      </c>
      <c r="J164" s="43">
        <v>0</v>
      </c>
      <c r="K164" s="43">
        <v>912</v>
      </c>
      <c r="L164" s="43">
        <f>1000+2514.26</f>
        <v>3514.26</v>
      </c>
      <c r="M164" s="44">
        <f t="shared" si="6"/>
        <v>5287.26</v>
      </c>
      <c r="N164" s="44">
        <f t="shared" si="7"/>
        <v>24712.739999999998</v>
      </c>
      <c r="O164" s="88" t="s">
        <v>23</v>
      </c>
    </row>
    <row r="165" spans="1:15" s="91" customFormat="1" x14ac:dyDescent="0.25">
      <c r="A165" s="87"/>
      <c r="B165" s="88">
        <f t="shared" si="8"/>
        <v>161</v>
      </c>
      <c r="C165" s="89" t="s">
        <v>216</v>
      </c>
      <c r="D165" s="90" t="s">
        <v>59</v>
      </c>
      <c r="E165" s="89" t="s">
        <v>25</v>
      </c>
      <c r="F165" s="90" t="s">
        <v>69</v>
      </c>
      <c r="G165" s="43">
        <v>18500</v>
      </c>
      <c r="H165" s="43">
        <v>18500</v>
      </c>
      <c r="I165" s="43">
        <v>530.95000000000005</v>
      </c>
      <c r="J165" s="43">
        <v>0</v>
      </c>
      <c r="K165" s="43">
        <v>562.4</v>
      </c>
      <c r="L165" s="43">
        <v>2885.69</v>
      </c>
      <c r="M165" s="44">
        <f t="shared" si="6"/>
        <v>3979.04</v>
      </c>
      <c r="N165" s="44">
        <f t="shared" si="7"/>
        <v>14520.96</v>
      </c>
      <c r="O165" s="88" t="s">
        <v>23</v>
      </c>
    </row>
    <row r="166" spans="1:15" s="91" customFormat="1" x14ac:dyDescent="0.25">
      <c r="A166" s="87"/>
      <c r="B166" s="88">
        <f t="shared" si="8"/>
        <v>162</v>
      </c>
      <c r="C166" s="89" t="s">
        <v>217</v>
      </c>
      <c r="D166" s="90" t="s">
        <v>59</v>
      </c>
      <c r="E166" s="89" t="s">
        <v>25</v>
      </c>
      <c r="F166" s="90" t="s">
        <v>66</v>
      </c>
      <c r="G166" s="43">
        <v>20000</v>
      </c>
      <c r="H166" s="43">
        <v>20000</v>
      </c>
      <c r="I166" s="43">
        <v>574</v>
      </c>
      <c r="J166" s="43">
        <v>0</v>
      </c>
      <c r="K166" s="43">
        <v>608</v>
      </c>
      <c r="L166" s="43">
        <v>0</v>
      </c>
      <c r="M166" s="44">
        <f t="shared" si="6"/>
        <v>1182</v>
      </c>
      <c r="N166" s="44">
        <f t="shared" si="7"/>
        <v>18818</v>
      </c>
      <c r="O166" s="88" t="s">
        <v>19</v>
      </c>
    </row>
    <row r="167" spans="1:15" s="91" customFormat="1" x14ac:dyDescent="0.25">
      <c r="A167" s="87"/>
      <c r="B167" s="88">
        <f t="shared" si="8"/>
        <v>163</v>
      </c>
      <c r="C167" s="89" t="s">
        <v>218</v>
      </c>
      <c r="D167" s="90" t="s">
        <v>59</v>
      </c>
      <c r="E167" s="89" t="s">
        <v>25</v>
      </c>
      <c r="F167" s="90" t="s">
        <v>106</v>
      </c>
      <c r="G167" s="43">
        <v>13000</v>
      </c>
      <c r="H167" s="43">
        <v>13000</v>
      </c>
      <c r="I167" s="43">
        <v>373.1</v>
      </c>
      <c r="J167" s="43">
        <v>0</v>
      </c>
      <c r="K167" s="43">
        <v>395.2</v>
      </c>
      <c r="L167" s="43">
        <v>0</v>
      </c>
      <c r="M167" s="44">
        <f t="shared" si="6"/>
        <v>768.3</v>
      </c>
      <c r="N167" s="44">
        <f t="shared" si="7"/>
        <v>12231.7</v>
      </c>
      <c r="O167" s="88" t="s">
        <v>19</v>
      </c>
    </row>
    <row r="168" spans="1:15" s="91" customFormat="1" x14ac:dyDescent="0.25">
      <c r="A168" s="87"/>
      <c r="B168" s="88">
        <f t="shared" si="8"/>
        <v>164</v>
      </c>
      <c r="C168" s="89" t="s">
        <v>219</v>
      </c>
      <c r="D168" s="90" t="s">
        <v>59</v>
      </c>
      <c r="E168" s="89" t="s">
        <v>25</v>
      </c>
      <c r="F168" s="90" t="s">
        <v>220</v>
      </c>
      <c r="G168" s="43">
        <v>10000</v>
      </c>
      <c r="H168" s="43">
        <v>10000</v>
      </c>
      <c r="I168" s="43">
        <v>287</v>
      </c>
      <c r="J168" s="43">
        <v>0</v>
      </c>
      <c r="K168" s="43">
        <v>304</v>
      </c>
      <c r="L168" s="43">
        <v>0</v>
      </c>
      <c r="M168" s="44">
        <f t="shared" si="6"/>
        <v>591</v>
      </c>
      <c r="N168" s="44">
        <f t="shared" si="7"/>
        <v>9409</v>
      </c>
      <c r="O168" s="88" t="s">
        <v>19</v>
      </c>
    </row>
    <row r="169" spans="1:15" s="91" customFormat="1" x14ac:dyDescent="0.25">
      <c r="A169" s="87"/>
      <c r="B169" s="88">
        <f t="shared" si="8"/>
        <v>165</v>
      </c>
      <c r="C169" s="89" t="s">
        <v>221</v>
      </c>
      <c r="D169" s="90" t="s">
        <v>59</v>
      </c>
      <c r="E169" s="89" t="s">
        <v>25</v>
      </c>
      <c r="F169" s="90" t="s">
        <v>62</v>
      </c>
      <c r="G169" s="43">
        <v>10000</v>
      </c>
      <c r="H169" s="43">
        <v>10000</v>
      </c>
      <c r="I169" s="43">
        <v>287</v>
      </c>
      <c r="J169" s="43">
        <v>0</v>
      </c>
      <c r="K169" s="43">
        <v>304</v>
      </c>
      <c r="L169" s="43">
        <v>2000</v>
      </c>
      <c r="M169" s="44">
        <f t="shared" si="6"/>
        <v>2591</v>
      </c>
      <c r="N169" s="44">
        <f t="shared" si="7"/>
        <v>7409</v>
      </c>
      <c r="O169" s="88" t="s">
        <v>23</v>
      </c>
    </row>
    <row r="170" spans="1:15" s="91" customFormat="1" x14ac:dyDescent="0.25">
      <c r="A170" s="87"/>
      <c r="B170" s="88">
        <f t="shared" si="8"/>
        <v>166</v>
      </c>
      <c r="C170" s="89" t="s">
        <v>222</v>
      </c>
      <c r="D170" s="90" t="s">
        <v>59</v>
      </c>
      <c r="E170" s="89" t="s">
        <v>25</v>
      </c>
      <c r="F170" s="90" t="s">
        <v>106</v>
      </c>
      <c r="G170" s="43">
        <v>13000</v>
      </c>
      <c r="H170" s="43">
        <v>13000</v>
      </c>
      <c r="I170" s="43">
        <v>373.1</v>
      </c>
      <c r="J170" s="43">
        <v>0</v>
      </c>
      <c r="K170" s="43">
        <v>395.2</v>
      </c>
      <c r="L170" s="43">
        <v>0</v>
      </c>
      <c r="M170" s="44">
        <f t="shared" si="6"/>
        <v>768.3</v>
      </c>
      <c r="N170" s="44">
        <f t="shared" si="7"/>
        <v>12231.7</v>
      </c>
      <c r="O170" s="88" t="s">
        <v>19</v>
      </c>
    </row>
    <row r="171" spans="1:15" s="91" customFormat="1" x14ac:dyDescent="0.25">
      <c r="A171" s="87"/>
      <c r="B171" s="88">
        <f t="shared" si="8"/>
        <v>167</v>
      </c>
      <c r="C171" s="89" t="s">
        <v>223</v>
      </c>
      <c r="D171" s="90" t="s">
        <v>59</v>
      </c>
      <c r="E171" s="89" t="s">
        <v>25</v>
      </c>
      <c r="F171" s="90" t="s">
        <v>150</v>
      </c>
      <c r="G171" s="43">
        <v>20000</v>
      </c>
      <c r="H171" s="43">
        <v>20000</v>
      </c>
      <c r="I171" s="43">
        <v>574</v>
      </c>
      <c r="J171" s="43">
        <v>0</v>
      </c>
      <c r="K171" s="43">
        <v>608</v>
      </c>
      <c r="L171" s="43">
        <f>31.21+2000+4218.84+2637.48</f>
        <v>8887.5300000000007</v>
      </c>
      <c r="M171" s="44">
        <f t="shared" si="6"/>
        <v>10069.530000000001</v>
      </c>
      <c r="N171" s="44">
        <f t="shared" si="7"/>
        <v>9930.4699999999993</v>
      </c>
      <c r="O171" s="88" t="s">
        <v>19</v>
      </c>
    </row>
    <row r="172" spans="1:15" s="91" customFormat="1" x14ac:dyDescent="0.25">
      <c r="A172" s="87"/>
      <c r="B172" s="88">
        <f t="shared" si="8"/>
        <v>168</v>
      </c>
      <c r="C172" s="89" t="s">
        <v>224</v>
      </c>
      <c r="D172" s="90" t="s">
        <v>59</v>
      </c>
      <c r="E172" s="89" t="s">
        <v>25</v>
      </c>
      <c r="F172" s="90" t="s">
        <v>150</v>
      </c>
      <c r="G172" s="43">
        <v>20000</v>
      </c>
      <c r="H172" s="43">
        <v>20000</v>
      </c>
      <c r="I172" s="43">
        <v>574</v>
      </c>
      <c r="J172" s="43">
        <v>0</v>
      </c>
      <c r="K172" s="43">
        <v>608</v>
      </c>
      <c r="L172" s="43">
        <f>2000+2937.79+2637.48</f>
        <v>7575.27</v>
      </c>
      <c r="M172" s="44">
        <f t="shared" si="6"/>
        <v>8757.27</v>
      </c>
      <c r="N172" s="44">
        <f t="shared" si="7"/>
        <v>11242.73</v>
      </c>
      <c r="O172" s="88" t="s">
        <v>19</v>
      </c>
    </row>
    <row r="173" spans="1:15" s="39" customFormat="1" x14ac:dyDescent="0.25">
      <c r="A173" s="12"/>
      <c r="B173" s="81">
        <f t="shared" si="8"/>
        <v>169</v>
      </c>
      <c r="C173" s="82" t="s">
        <v>225</v>
      </c>
      <c r="D173" s="83" t="s">
        <v>59</v>
      </c>
      <c r="E173" s="82" t="s">
        <v>25</v>
      </c>
      <c r="F173" s="83" t="s">
        <v>45</v>
      </c>
      <c r="G173" s="84">
        <v>25000</v>
      </c>
      <c r="H173" s="84">
        <v>25000</v>
      </c>
      <c r="I173" s="84">
        <v>717.5</v>
      </c>
      <c r="J173" s="84">
        <v>0</v>
      </c>
      <c r="K173" s="84">
        <v>760</v>
      </c>
      <c r="L173" s="84">
        <v>1715.46</v>
      </c>
      <c r="M173" s="85">
        <f t="shared" si="6"/>
        <v>3192.96</v>
      </c>
      <c r="N173" s="85">
        <f t="shared" si="7"/>
        <v>21807.040000000001</v>
      </c>
      <c r="O173" s="81" t="s">
        <v>23</v>
      </c>
    </row>
    <row r="174" spans="1:15" s="91" customFormat="1" ht="19.5" customHeight="1" x14ac:dyDescent="0.25">
      <c r="A174" s="87"/>
      <c r="B174" s="88">
        <f t="shared" si="8"/>
        <v>170</v>
      </c>
      <c r="C174" s="89" t="s">
        <v>226</v>
      </c>
      <c r="D174" s="90" t="s">
        <v>59</v>
      </c>
      <c r="E174" s="89" t="s">
        <v>25</v>
      </c>
      <c r="F174" s="90" t="s">
        <v>106</v>
      </c>
      <c r="G174" s="43">
        <v>13000</v>
      </c>
      <c r="H174" s="43">
        <v>13000</v>
      </c>
      <c r="I174" s="43">
        <v>373.1</v>
      </c>
      <c r="J174" s="43">
        <v>0</v>
      </c>
      <c r="K174" s="43">
        <v>395.2</v>
      </c>
      <c r="L174" s="43">
        <v>2257.13</v>
      </c>
      <c r="M174" s="44">
        <f t="shared" si="6"/>
        <v>3025.4300000000003</v>
      </c>
      <c r="N174" s="44">
        <f t="shared" si="7"/>
        <v>9974.57</v>
      </c>
      <c r="O174" s="88" t="s">
        <v>23</v>
      </c>
    </row>
    <row r="175" spans="1:15" s="91" customFormat="1" x14ac:dyDescent="0.25">
      <c r="A175" s="87"/>
      <c r="B175" s="88">
        <f t="shared" si="8"/>
        <v>171</v>
      </c>
      <c r="C175" s="89" t="s">
        <v>227</v>
      </c>
      <c r="D175" s="90" t="s">
        <v>59</v>
      </c>
      <c r="E175" s="89" t="s">
        <v>25</v>
      </c>
      <c r="F175" s="90" t="s">
        <v>28</v>
      </c>
      <c r="G175" s="43">
        <v>16458.2</v>
      </c>
      <c r="H175" s="43">
        <v>16458.2</v>
      </c>
      <c r="I175" s="43">
        <v>472.35</v>
      </c>
      <c r="J175" s="43">
        <v>0</v>
      </c>
      <c r="K175" s="43">
        <v>500.33</v>
      </c>
      <c r="L175" s="43">
        <v>0</v>
      </c>
      <c r="M175" s="44">
        <f t="shared" si="6"/>
        <v>972.68000000000006</v>
      </c>
      <c r="N175" s="44">
        <f t="shared" si="7"/>
        <v>15485.52</v>
      </c>
      <c r="O175" s="88" t="s">
        <v>23</v>
      </c>
    </row>
    <row r="176" spans="1:15" s="91" customFormat="1" x14ac:dyDescent="0.25">
      <c r="A176" s="87"/>
      <c r="B176" s="88">
        <f t="shared" si="8"/>
        <v>172</v>
      </c>
      <c r="C176" s="89" t="s">
        <v>228</v>
      </c>
      <c r="D176" s="90" t="s">
        <v>59</v>
      </c>
      <c r="E176" s="89" t="s">
        <v>25</v>
      </c>
      <c r="F176" s="90" t="s">
        <v>45</v>
      </c>
      <c r="G176" s="43">
        <v>28000</v>
      </c>
      <c r="H176" s="43">
        <v>28000</v>
      </c>
      <c r="I176" s="43">
        <v>803.6</v>
      </c>
      <c r="J176" s="43">
        <v>0</v>
      </c>
      <c r="K176" s="43">
        <v>851.2</v>
      </c>
      <c r="L176" s="43">
        <v>31.21</v>
      </c>
      <c r="M176" s="44">
        <f t="shared" si="6"/>
        <v>1686.0100000000002</v>
      </c>
      <c r="N176" s="44">
        <f t="shared" si="7"/>
        <v>26313.989999999998</v>
      </c>
      <c r="O176" s="88" t="s">
        <v>23</v>
      </c>
    </row>
    <row r="177" spans="1:15" s="91" customFormat="1" x14ac:dyDescent="0.25">
      <c r="A177" s="87"/>
      <c r="B177" s="88">
        <f t="shared" si="8"/>
        <v>173</v>
      </c>
      <c r="C177" s="89" t="s">
        <v>229</v>
      </c>
      <c r="D177" s="90" t="s">
        <v>59</v>
      </c>
      <c r="E177" s="89" t="s">
        <v>25</v>
      </c>
      <c r="F177" s="90" t="s">
        <v>220</v>
      </c>
      <c r="G177" s="43">
        <v>15000</v>
      </c>
      <c r="H177" s="43">
        <v>15000</v>
      </c>
      <c r="I177" s="43">
        <v>430.5</v>
      </c>
      <c r="J177" s="43">
        <v>0</v>
      </c>
      <c r="K177" s="43">
        <v>456</v>
      </c>
      <c r="L177" s="43">
        <v>1031.21</v>
      </c>
      <c r="M177" s="44">
        <f t="shared" si="6"/>
        <v>1917.71</v>
      </c>
      <c r="N177" s="44">
        <f t="shared" si="7"/>
        <v>13082.29</v>
      </c>
      <c r="O177" s="88" t="s">
        <v>19</v>
      </c>
    </row>
    <row r="178" spans="1:15" s="91" customFormat="1" x14ac:dyDescent="0.25">
      <c r="A178" s="87"/>
      <c r="B178" s="88">
        <f>B177+1</f>
        <v>174</v>
      </c>
      <c r="C178" s="89" t="s">
        <v>232</v>
      </c>
      <c r="D178" s="90" t="s">
        <v>59</v>
      </c>
      <c r="E178" s="89" t="s">
        <v>25</v>
      </c>
      <c r="F178" s="90" t="s">
        <v>66</v>
      </c>
      <c r="G178" s="43">
        <v>20000</v>
      </c>
      <c r="H178" s="43">
        <v>20000</v>
      </c>
      <c r="I178" s="43">
        <v>574</v>
      </c>
      <c r="J178" s="43">
        <v>0</v>
      </c>
      <c r="K178" s="43">
        <v>608</v>
      </c>
      <c r="L178" s="43">
        <v>1000</v>
      </c>
      <c r="M178" s="44">
        <f t="shared" si="6"/>
        <v>2182</v>
      </c>
      <c r="N178" s="44">
        <f t="shared" si="7"/>
        <v>17818</v>
      </c>
      <c r="O178" s="88" t="s">
        <v>19</v>
      </c>
    </row>
    <row r="179" spans="1:15" s="91" customFormat="1" x14ac:dyDescent="0.25">
      <c r="A179" s="87"/>
      <c r="B179" s="88">
        <f t="shared" si="8"/>
        <v>175</v>
      </c>
      <c r="C179" s="89" t="s">
        <v>233</v>
      </c>
      <c r="D179" s="90" t="s">
        <v>59</v>
      </c>
      <c r="E179" s="89" t="s">
        <v>25</v>
      </c>
      <c r="F179" s="90" t="s">
        <v>106</v>
      </c>
      <c r="G179" s="43">
        <v>13000</v>
      </c>
      <c r="H179" s="43">
        <v>13000</v>
      </c>
      <c r="I179" s="43">
        <v>373.1</v>
      </c>
      <c r="J179" s="43">
        <v>0</v>
      </c>
      <c r="K179" s="43">
        <v>395.2</v>
      </c>
      <c r="L179" s="43">
        <v>0</v>
      </c>
      <c r="M179" s="44">
        <f t="shared" si="6"/>
        <v>768.3</v>
      </c>
      <c r="N179" s="44">
        <f t="shared" si="7"/>
        <v>12231.7</v>
      </c>
      <c r="O179" s="88" t="s">
        <v>19</v>
      </c>
    </row>
    <row r="180" spans="1:15" s="91" customFormat="1" x14ac:dyDescent="0.25">
      <c r="A180" s="87"/>
      <c r="B180" s="88">
        <f>+B179+1</f>
        <v>176</v>
      </c>
      <c r="C180" s="89" t="s">
        <v>234</v>
      </c>
      <c r="D180" s="90" t="s">
        <v>59</v>
      </c>
      <c r="E180" s="89" t="s">
        <v>25</v>
      </c>
      <c r="F180" s="90" t="s">
        <v>45</v>
      </c>
      <c r="G180" s="43">
        <v>28000</v>
      </c>
      <c r="H180" s="43">
        <v>28000</v>
      </c>
      <c r="I180" s="43">
        <v>803.6</v>
      </c>
      <c r="J180" s="43">
        <v>0</v>
      </c>
      <c r="K180" s="43">
        <v>851.2</v>
      </c>
      <c r="L180" s="43">
        <v>6427.42</v>
      </c>
      <c r="M180" s="44">
        <f t="shared" si="6"/>
        <v>8082.22</v>
      </c>
      <c r="N180" s="44">
        <f t="shared" si="7"/>
        <v>19917.78</v>
      </c>
      <c r="O180" s="88" t="s">
        <v>23</v>
      </c>
    </row>
    <row r="181" spans="1:15" s="91" customFormat="1" x14ac:dyDescent="0.25">
      <c r="A181" s="87"/>
      <c r="B181" s="88">
        <f t="shared" si="8"/>
        <v>177</v>
      </c>
      <c r="C181" s="89" t="s">
        <v>235</v>
      </c>
      <c r="D181" s="90" t="s">
        <v>59</v>
      </c>
      <c r="E181" s="89" t="s">
        <v>25</v>
      </c>
      <c r="F181" s="90" t="s">
        <v>150</v>
      </c>
      <c r="G181" s="43">
        <v>18000</v>
      </c>
      <c r="H181" s="43">
        <v>18000</v>
      </c>
      <c r="I181" s="43">
        <v>516.6</v>
      </c>
      <c r="J181" s="43">
        <v>0</v>
      </c>
      <c r="K181" s="43">
        <v>547.20000000000005</v>
      </c>
      <c r="L181" s="43">
        <v>0</v>
      </c>
      <c r="M181" s="44">
        <f t="shared" si="6"/>
        <v>1063.8000000000002</v>
      </c>
      <c r="N181" s="44">
        <f t="shared" si="7"/>
        <v>16936.2</v>
      </c>
      <c r="O181" s="88" t="s">
        <v>19</v>
      </c>
    </row>
    <row r="182" spans="1:15" s="91" customFormat="1" x14ac:dyDescent="0.25">
      <c r="A182" s="87"/>
      <c r="B182" s="88">
        <f t="shared" si="8"/>
        <v>178</v>
      </c>
      <c r="C182" s="89" t="s">
        <v>236</v>
      </c>
      <c r="D182" s="90" t="s">
        <v>59</v>
      </c>
      <c r="E182" s="89" t="s">
        <v>25</v>
      </c>
      <c r="F182" s="90" t="s">
        <v>106</v>
      </c>
      <c r="G182" s="43">
        <v>13000</v>
      </c>
      <c r="H182" s="43">
        <v>13000</v>
      </c>
      <c r="I182" s="43">
        <v>373.1</v>
      </c>
      <c r="J182" s="43">
        <v>0</v>
      </c>
      <c r="K182" s="43">
        <v>395.2</v>
      </c>
      <c r="L182" s="43">
        <v>1000</v>
      </c>
      <c r="M182" s="44">
        <f t="shared" si="6"/>
        <v>1768.3</v>
      </c>
      <c r="N182" s="44">
        <f t="shared" si="7"/>
        <v>11231.7</v>
      </c>
      <c r="O182" s="88" t="s">
        <v>19</v>
      </c>
    </row>
    <row r="183" spans="1:15" s="91" customFormat="1" x14ac:dyDescent="0.25">
      <c r="A183" s="87"/>
      <c r="B183" s="88">
        <f t="shared" si="8"/>
        <v>179</v>
      </c>
      <c r="C183" s="89" t="s">
        <v>237</v>
      </c>
      <c r="D183" s="90" t="s">
        <v>59</v>
      </c>
      <c r="E183" s="89" t="s">
        <v>25</v>
      </c>
      <c r="F183" s="90" t="s">
        <v>106</v>
      </c>
      <c r="G183" s="43">
        <v>13000</v>
      </c>
      <c r="H183" s="43">
        <v>13000</v>
      </c>
      <c r="I183" s="43">
        <v>373.1</v>
      </c>
      <c r="J183" s="43">
        <v>0</v>
      </c>
      <c r="K183" s="43">
        <v>395.2</v>
      </c>
      <c r="L183" s="43">
        <v>0</v>
      </c>
      <c r="M183" s="44">
        <f t="shared" si="6"/>
        <v>768.3</v>
      </c>
      <c r="N183" s="44">
        <f t="shared" si="7"/>
        <v>12231.7</v>
      </c>
      <c r="O183" s="88" t="s">
        <v>19</v>
      </c>
    </row>
    <row r="184" spans="1:15" s="91" customFormat="1" x14ac:dyDescent="0.25">
      <c r="A184" s="87"/>
      <c r="B184" s="88">
        <f t="shared" si="8"/>
        <v>180</v>
      </c>
      <c r="C184" s="89" t="s">
        <v>238</v>
      </c>
      <c r="D184" s="90" t="s">
        <v>59</v>
      </c>
      <c r="E184" s="89" t="s">
        <v>25</v>
      </c>
      <c r="F184" s="90" t="s">
        <v>28</v>
      </c>
      <c r="G184" s="43">
        <v>25000</v>
      </c>
      <c r="H184" s="43">
        <v>25000</v>
      </c>
      <c r="I184" s="43">
        <v>717.5</v>
      </c>
      <c r="J184" s="43">
        <v>0</v>
      </c>
      <c r="K184" s="43">
        <v>760</v>
      </c>
      <c r="L184" s="43">
        <v>500</v>
      </c>
      <c r="M184" s="44">
        <f t="shared" si="6"/>
        <v>1977.5</v>
      </c>
      <c r="N184" s="44">
        <f t="shared" si="7"/>
        <v>23022.5</v>
      </c>
      <c r="O184" s="88" t="s">
        <v>23</v>
      </c>
    </row>
    <row r="185" spans="1:15" s="91" customFormat="1" x14ac:dyDescent="0.25">
      <c r="A185" s="87"/>
      <c r="B185" s="88">
        <f t="shared" si="8"/>
        <v>181</v>
      </c>
      <c r="C185" s="89" t="s">
        <v>239</v>
      </c>
      <c r="D185" s="90" t="s">
        <v>59</v>
      </c>
      <c r="E185" s="89" t="s">
        <v>25</v>
      </c>
      <c r="F185" s="90" t="s">
        <v>62</v>
      </c>
      <c r="G185" s="43">
        <v>10000</v>
      </c>
      <c r="H185" s="43">
        <v>10000</v>
      </c>
      <c r="I185" s="43">
        <v>287</v>
      </c>
      <c r="J185" s="43">
        <v>0</v>
      </c>
      <c r="K185" s="43">
        <v>304</v>
      </c>
      <c r="L185" s="43">
        <v>0</v>
      </c>
      <c r="M185" s="44">
        <f t="shared" si="6"/>
        <v>591</v>
      </c>
      <c r="N185" s="44">
        <f t="shared" si="7"/>
        <v>9409</v>
      </c>
      <c r="O185" s="88" t="s">
        <v>23</v>
      </c>
    </row>
    <row r="186" spans="1:15" s="91" customFormat="1" x14ac:dyDescent="0.25">
      <c r="A186" s="87"/>
      <c r="B186" s="88">
        <f t="shared" si="8"/>
        <v>182</v>
      </c>
      <c r="C186" s="89" t="s">
        <v>240</v>
      </c>
      <c r="D186" s="90" t="s">
        <v>59</v>
      </c>
      <c r="E186" s="89" t="s">
        <v>25</v>
      </c>
      <c r="F186" s="90" t="s">
        <v>220</v>
      </c>
      <c r="G186" s="43">
        <v>10000</v>
      </c>
      <c r="H186" s="43">
        <v>10000</v>
      </c>
      <c r="I186" s="43">
        <v>287</v>
      </c>
      <c r="J186" s="43">
        <v>0</v>
      </c>
      <c r="K186" s="43">
        <v>304</v>
      </c>
      <c r="L186" s="43">
        <v>0</v>
      </c>
      <c r="M186" s="44">
        <f t="shared" si="6"/>
        <v>591</v>
      </c>
      <c r="N186" s="44">
        <f t="shared" si="7"/>
        <v>9409</v>
      </c>
      <c r="O186" s="88" t="s">
        <v>19</v>
      </c>
    </row>
    <row r="187" spans="1:15" s="91" customFormat="1" x14ac:dyDescent="0.25">
      <c r="A187" s="87"/>
      <c r="B187" s="88">
        <f t="shared" si="8"/>
        <v>183</v>
      </c>
      <c r="C187" s="89" t="s">
        <v>241</v>
      </c>
      <c r="D187" s="90" t="s">
        <v>59</v>
      </c>
      <c r="E187" s="89" t="s">
        <v>25</v>
      </c>
      <c r="F187" s="90" t="s">
        <v>28</v>
      </c>
      <c r="G187" s="43">
        <v>15000</v>
      </c>
      <c r="H187" s="43">
        <v>15000</v>
      </c>
      <c r="I187" s="43">
        <v>430.5</v>
      </c>
      <c r="J187" s="43">
        <v>0</v>
      </c>
      <c r="K187" s="43">
        <v>456</v>
      </c>
      <c r="L187" s="43">
        <v>0</v>
      </c>
      <c r="M187" s="44">
        <f t="shared" ref="M187:M243" si="9">SUM(I187:L187)</f>
        <v>886.5</v>
      </c>
      <c r="N187" s="44">
        <f t="shared" ref="N187:N243" si="10">G187-M187</f>
        <v>14113.5</v>
      </c>
      <c r="O187" s="88" t="s">
        <v>23</v>
      </c>
    </row>
    <row r="188" spans="1:15" s="91" customFormat="1" x14ac:dyDescent="0.25">
      <c r="A188" s="87"/>
      <c r="B188" s="88">
        <f t="shared" si="8"/>
        <v>184</v>
      </c>
      <c r="C188" s="89" t="s">
        <v>242</v>
      </c>
      <c r="D188" s="90" t="s">
        <v>59</v>
      </c>
      <c r="E188" s="89" t="s">
        <v>25</v>
      </c>
      <c r="F188" s="90" t="s">
        <v>45</v>
      </c>
      <c r="G188" s="43">
        <v>28000</v>
      </c>
      <c r="H188" s="43">
        <v>28000</v>
      </c>
      <c r="I188" s="43">
        <v>803.6</v>
      </c>
      <c r="J188" s="43">
        <v>0</v>
      </c>
      <c r="K188" s="43">
        <v>851.2</v>
      </c>
      <c r="L188" s="43">
        <v>0</v>
      </c>
      <c r="M188" s="44">
        <f t="shared" si="9"/>
        <v>1654.8000000000002</v>
      </c>
      <c r="N188" s="44">
        <f t="shared" si="10"/>
        <v>26345.200000000001</v>
      </c>
      <c r="O188" s="88" t="s">
        <v>19</v>
      </c>
    </row>
    <row r="189" spans="1:15" s="91" customFormat="1" x14ac:dyDescent="0.25">
      <c r="A189" s="87"/>
      <c r="B189" s="88">
        <f t="shared" si="8"/>
        <v>185</v>
      </c>
      <c r="C189" s="89" t="s">
        <v>243</v>
      </c>
      <c r="D189" s="90" t="s">
        <v>59</v>
      </c>
      <c r="E189" s="89" t="s">
        <v>25</v>
      </c>
      <c r="F189" s="90" t="s">
        <v>45</v>
      </c>
      <c r="G189" s="43">
        <v>16720</v>
      </c>
      <c r="H189" s="43">
        <v>16720</v>
      </c>
      <c r="I189" s="43">
        <v>479.86</v>
      </c>
      <c r="J189" s="43">
        <v>0</v>
      </c>
      <c r="K189" s="43">
        <v>508.29</v>
      </c>
      <c r="L189" s="43">
        <v>0</v>
      </c>
      <c r="M189" s="44">
        <f t="shared" si="9"/>
        <v>988.15000000000009</v>
      </c>
      <c r="N189" s="44">
        <f t="shared" si="10"/>
        <v>15731.85</v>
      </c>
      <c r="O189" s="88" t="s">
        <v>23</v>
      </c>
    </row>
    <row r="190" spans="1:15" s="91" customFormat="1" x14ac:dyDescent="0.25">
      <c r="A190" s="87"/>
      <c r="B190" s="88">
        <f t="shared" si="8"/>
        <v>186</v>
      </c>
      <c r="C190" s="89" t="s">
        <v>583</v>
      </c>
      <c r="D190" s="90" t="s">
        <v>59</v>
      </c>
      <c r="E190" s="89" t="s">
        <v>25</v>
      </c>
      <c r="F190" s="90" t="s">
        <v>106</v>
      </c>
      <c r="G190" s="43">
        <v>10000</v>
      </c>
      <c r="H190" s="43">
        <f>+G190</f>
        <v>10000</v>
      </c>
      <c r="I190" s="43">
        <f>+G190*2.87%</f>
        <v>287</v>
      </c>
      <c r="J190" s="43">
        <v>0</v>
      </c>
      <c r="K190" s="43">
        <f>++G190*3.04%</f>
        <v>304</v>
      </c>
      <c r="L190" s="43">
        <v>0</v>
      </c>
      <c r="M190" s="44">
        <f>+I190+K190</f>
        <v>591</v>
      </c>
      <c r="N190" s="44">
        <f>+G190-M190</f>
        <v>9409</v>
      </c>
      <c r="O190" s="88" t="s">
        <v>19</v>
      </c>
    </row>
    <row r="191" spans="1:15" s="91" customFormat="1" x14ac:dyDescent="0.25">
      <c r="A191" s="87"/>
      <c r="B191" s="88">
        <f>+B190+1</f>
        <v>187</v>
      </c>
      <c r="C191" s="89" t="s">
        <v>584</v>
      </c>
      <c r="D191" s="90" t="s">
        <v>59</v>
      </c>
      <c r="E191" s="89" t="s">
        <v>25</v>
      </c>
      <c r="F191" s="90" t="s">
        <v>585</v>
      </c>
      <c r="G191" s="43">
        <v>12000</v>
      </c>
      <c r="H191" s="43">
        <f t="shared" ref="H191:H192" si="11">+G191</f>
        <v>12000</v>
      </c>
      <c r="I191" s="43">
        <f t="shared" ref="I191:I192" si="12">+G191*2.87%</f>
        <v>344.4</v>
      </c>
      <c r="J191" s="43">
        <v>0</v>
      </c>
      <c r="K191" s="43">
        <f t="shared" ref="K191:K192" si="13">++G191*3.04%</f>
        <v>364.8</v>
      </c>
      <c r="L191" s="43">
        <v>0</v>
      </c>
      <c r="M191" s="44">
        <f t="shared" ref="M191:M192" si="14">+I191+K191</f>
        <v>709.2</v>
      </c>
      <c r="N191" s="44">
        <f t="shared" ref="N191:N192" si="15">+G191-M191</f>
        <v>11290.8</v>
      </c>
      <c r="O191" s="88" t="s">
        <v>23</v>
      </c>
    </row>
    <row r="192" spans="1:15" s="91" customFormat="1" x14ac:dyDescent="0.25">
      <c r="A192" s="87"/>
      <c r="B192" s="88">
        <f t="shared" si="8"/>
        <v>188</v>
      </c>
      <c r="C192" s="89" t="s">
        <v>591</v>
      </c>
      <c r="D192" s="90" t="s">
        <v>59</v>
      </c>
      <c r="E192" s="89" t="s">
        <v>25</v>
      </c>
      <c r="F192" s="90" t="s">
        <v>106</v>
      </c>
      <c r="G192" s="43">
        <v>11000</v>
      </c>
      <c r="H192" s="43">
        <f t="shared" si="11"/>
        <v>11000</v>
      </c>
      <c r="I192" s="43">
        <f t="shared" si="12"/>
        <v>315.7</v>
      </c>
      <c r="J192" s="43">
        <v>0</v>
      </c>
      <c r="K192" s="43">
        <f t="shared" si="13"/>
        <v>334.4</v>
      </c>
      <c r="L192" s="43">
        <v>0</v>
      </c>
      <c r="M192" s="44">
        <f t="shared" si="14"/>
        <v>650.09999999999991</v>
      </c>
      <c r="N192" s="44">
        <f t="shared" si="15"/>
        <v>10349.9</v>
      </c>
      <c r="O192" s="88" t="s">
        <v>19</v>
      </c>
    </row>
    <row r="193" spans="1:15" s="91" customFormat="1" x14ac:dyDescent="0.25">
      <c r="A193" s="87"/>
      <c r="B193" s="88">
        <f t="shared" si="8"/>
        <v>189</v>
      </c>
      <c r="C193" s="89" t="s">
        <v>244</v>
      </c>
      <c r="D193" s="90" t="s">
        <v>245</v>
      </c>
      <c r="E193" s="89" t="s">
        <v>21</v>
      </c>
      <c r="F193" s="90" t="s">
        <v>84</v>
      </c>
      <c r="G193" s="43">
        <v>56154.5</v>
      </c>
      <c r="H193" s="43">
        <v>56154.5</v>
      </c>
      <c r="I193" s="43">
        <v>1611.63</v>
      </c>
      <c r="J193" s="43">
        <v>2763.03</v>
      </c>
      <c r="K193" s="43">
        <v>1707.1</v>
      </c>
      <c r="L193" s="43">
        <v>11019.68</v>
      </c>
      <c r="M193" s="44">
        <f t="shared" si="9"/>
        <v>17101.440000000002</v>
      </c>
      <c r="N193" s="44">
        <f t="shared" si="10"/>
        <v>39053.06</v>
      </c>
      <c r="O193" s="88" t="s">
        <v>19</v>
      </c>
    </row>
    <row r="194" spans="1:15" s="91" customFormat="1" x14ac:dyDescent="0.25">
      <c r="A194" s="87"/>
      <c r="B194" s="88">
        <f t="shared" si="8"/>
        <v>190</v>
      </c>
      <c r="C194" s="89" t="s">
        <v>246</v>
      </c>
      <c r="D194" s="90" t="s">
        <v>245</v>
      </c>
      <c r="E194" s="89" t="s">
        <v>21</v>
      </c>
      <c r="F194" s="90" t="s">
        <v>85</v>
      </c>
      <c r="G194" s="43">
        <v>30000</v>
      </c>
      <c r="H194" s="43">
        <v>30000</v>
      </c>
      <c r="I194" s="43">
        <v>861</v>
      </c>
      <c r="J194" s="43">
        <v>0</v>
      </c>
      <c r="K194" s="43">
        <v>912</v>
      </c>
      <c r="L194" s="43">
        <f>1247.57+31.21</f>
        <v>1278.78</v>
      </c>
      <c r="M194" s="44">
        <f t="shared" si="9"/>
        <v>3051.7799999999997</v>
      </c>
      <c r="N194" s="44">
        <f t="shared" si="10"/>
        <v>26948.22</v>
      </c>
      <c r="O194" s="88" t="s">
        <v>23</v>
      </c>
    </row>
    <row r="195" spans="1:15" s="91" customFormat="1" x14ac:dyDescent="0.25">
      <c r="A195" s="87"/>
      <c r="B195" s="88">
        <f t="shared" si="8"/>
        <v>191</v>
      </c>
      <c r="C195" s="89" t="s">
        <v>247</v>
      </c>
      <c r="D195" s="90" t="s">
        <v>245</v>
      </c>
      <c r="E195" s="89" t="s">
        <v>21</v>
      </c>
      <c r="F195" s="90" t="s">
        <v>85</v>
      </c>
      <c r="G195" s="43">
        <v>28000</v>
      </c>
      <c r="H195" s="43">
        <v>28000</v>
      </c>
      <c r="I195" s="43">
        <v>803.6</v>
      </c>
      <c r="J195" s="43">
        <v>0</v>
      </c>
      <c r="K195" s="43">
        <v>851.2</v>
      </c>
      <c r="L195" s="43">
        <f>140+31.21+1000+5146.38</f>
        <v>6317.59</v>
      </c>
      <c r="M195" s="44">
        <f t="shared" si="9"/>
        <v>7972.39</v>
      </c>
      <c r="N195" s="44">
        <f t="shared" si="10"/>
        <v>20027.61</v>
      </c>
      <c r="O195" s="88" t="s">
        <v>23</v>
      </c>
    </row>
    <row r="196" spans="1:15" s="91" customFormat="1" x14ac:dyDescent="0.25">
      <c r="A196" s="87"/>
      <c r="B196" s="88">
        <f t="shared" si="8"/>
        <v>192</v>
      </c>
      <c r="C196" s="89" t="s">
        <v>248</v>
      </c>
      <c r="D196" s="90" t="s">
        <v>245</v>
      </c>
      <c r="E196" s="89" t="s">
        <v>21</v>
      </c>
      <c r="F196" s="90" t="s">
        <v>84</v>
      </c>
      <c r="G196" s="43">
        <v>38000</v>
      </c>
      <c r="H196" s="43">
        <v>38000</v>
      </c>
      <c r="I196" s="43">
        <v>1090.5999999999999</v>
      </c>
      <c r="J196" s="43">
        <v>160.38</v>
      </c>
      <c r="K196" s="43">
        <v>1155.2</v>
      </c>
      <c r="L196" s="43">
        <f>120+1455.5+31.21+500+12159.03</f>
        <v>14265.740000000002</v>
      </c>
      <c r="M196" s="44">
        <f>+L196+K196+J196+I196</f>
        <v>16671.920000000002</v>
      </c>
      <c r="N196" s="44">
        <f>+G196-M196</f>
        <v>21328.079999999998</v>
      </c>
      <c r="O196" s="88" t="s">
        <v>23</v>
      </c>
    </row>
    <row r="197" spans="1:15" s="91" customFormat="1" x14ac:dyDescent="0.25">
      <c r="A197" s="87"/>
      <c r="B197" s="88">
        <f t="shared" ref="B197:B257" si="16">+B196+1</f>
        <v>193</v>
      </c>
      <c r="C197" s="89" t="s">
        <v>249</v>
      </c>
      <c r="D197" s="90" t="s">
        <v>245</v>
      </c>
      <c r="E197" s="89" t="s">
        <v>21</v>
      </c>
      <c r="F197" s="90" t="s">
        <v>84</v>
      </c>
      <c r="G197" s="43">
        <v>35000</v>
      </c>
      <c r="H197" s="43">
        <v>35000</v>
      </c>
      <c r="I197" s="43">
        <v>1004.5</v>
      </c>
      <c r="J197" s="43">
        <v>0</v>
      </c>
      <c r="K197" s="43">
        <v>1064</v>
      </c>
      <c r="L197" s="43">
        <f>140+1923.33+31.21+1500+7031.41+2637.48</f>
        <v>13263.43</v>
      </c>
      <c r="M197" s="44">
        <f t="shared" si="9"/>
        <v>15331.93</v>
      </c>
      <c r="N197" s="44">
        <f t="shared" si="10"/>
        <v>19668.07</v>
      </c>
      <c r="O197" s="88" t="s">
        <v>23</v>
      </c>
    </row>
    <row r="198" spans="1:15" s="91" customFormat="1" x14ac:dyDescent="0.25">
      <c r="A198" s="87"/>
      <c r="B198" s="88">
        <f t="shared" si="16"/>
        <v>194</v>
      </c>
      <c r="C198" s="89" t="s">
        <v>250</v>
      </c>
      <c r="D198" s="90" t="s">
        <v>245</v>
      </c>
      <c r="E198" s="89" t="s">
        <v>25</v>
      </c>
      <c r="F198" s="90" t="s">
        <v>85</v>
      </c>
      <c r="G198" s="43">
        <v>38000</v>
      </c>
      <c r="H198" s="43">
        <v>38000</v>
      </c>
      <c r="I198" s="43">
        <v>1090.5999999999999</v>
      </c>
      <c r="J198" s="43">
        <v>0</v>
      </c>
      <c r="K198" s="43">
        <v>1155.2</v>
      </c>
      <c r="L198" s="43">
        <f>415.86+31.21+3430.92</f>
        <v>3877.9900000000002</v>
      </c>
      <c r="M198" s="44">
        <f>+L198+K198+I198</f>
        <v>6123.7900000000009</v>
      </c>
      <c r="N198" s="44">
        <f>+G198-M198</f>
        <v>31876.21</v>
      </c>
      <c r="O198" s="88" t="s">
        <v>23</v>
      </c>
    </row>
    <row r="199" spans="1:15" s="91" customFormat="1" x14ac:dyDescent="0.25">
      <c r="A199" s="87"/>
      <c r="B199" s="88">
        <f t="shared" si="16"/>
        <v>195</v>
      </c>
      <c r="C199" s="89" t="s">
        <v>251</v>
      </c>
      <c r="D199" s="90" t="s">
        <v>252</v>
      </c>
      <c r="E199" s="89" t="s">
        <v>25</v>
      </c>
      <c r="F199" s="90" t="s">
        <v>253</v>
      </c>
      <c r="G199" s="43">
        <v>75000</v>
      </c>
      <c r="H199" s="43">
        <v>75000</v>
      </c>
      <c r="I199" s="43">
        <v>2152.5</v>
      </c>
      <c r="J199" s="43">
        <v>6309.38</v>
      </c>
      <c r="K199" s="43">
        <v>2280</v>
      </c>
      <c r="L199" s="43">
        <v>18394.02</v>
      </c>
      <c r="M199" s="44">
        <f>+L199+K199+J199+I199</f>
        <v>29135.9</v>
      </c>
      <c r="N199" s="44">
        <f t="shared" si="10"/>
        <v>45864.1</v>
      </c>
      <c r="O199" s="88" t="s">
        <v>23</v>
      </c>
    </row>
    <row r="200" spans="1:15" s="39" customFormat="1" x14ac:dyDescent="0.25">
      <c r="A200" s="12"/>
      <c r="B200" s="81">
        <f t="shared" si="16"/>
        <v>196</v>
      </c>
      <c r="C200" s="82" t="s">
        <v>254</v>
      </c>
      <c r="D200" s="83" t="s">
        <v>252</v>
      </c>
      <c r="E200" s="82" t="s">
        <v>21</v>
      </c>
      <c r="F200" s="83" t="s">
        <v>253</v>
      </c>
      <c r="G200" s="84">
        <v>65000</v>
      </c>
      <c r="H200" s="84">
        <v>65000</v>
      </c>
      <c r="I200" s="84">
        <v>1865.5</v>
      </c>
      <c r="J200" s="84">
        <v>4084.48</v>
      </c>
      <c r="K200" s="84">
        <v>1976</v>
      </c>
      <c r="L200" s="84">
        <v>17189.29</v>
      </c>
      <c r="M200" s="85">
        <f t="shared" si="9"/>
        <v>25115.27</v>
      </c>
      <c r="N200" s="85">
        <f t="shared" si="10"/>
        <v>39884.729999999996</v>
      </c>
      <c r="O200" s="81" t="s">
        <v>23</v>
      </c>
    </row>
    <row r="201" spans="1:15" s="91" customFormat="1" x14ac:dyDescent="0.25">
      <c r="A201" s="87"/>
      <c r="B201" s="88">
        <f t="shared" si="16"/>
        <v>197</v>
      </c>
      <c r="C201" s="89" t="s">
        <v>255</v>
      </c>
      <c r="D201" s="90" t="s">
        <v>252</v>
      </c>
      <c r="E201" s="89" t="s">
        <v>21</v>
      </c>
      <c r="F201" s="90" t="s">
        <v>256</v>
      </c>
      <c r="G201" s="43">
        <v>50000</v>
      </c>
      <c r="H201" s="43">
        <v>50000</v>
      </c>
      <c r="I201" s="43">
        <v>1435</v>
      </c>
      <c r="J201" s="43">
        <v>1854</v>
      </c>
      <c r="K201" s="43">
        <v>1520</v>
      </c>
      <c r="L201" s="43">
        <v>9396.11</v>
      </c>
      <c r="M201" s="44">
        <f t="shared" si="9"/>
        <v>14205.11</v>
      </c>
      <c r="N201" s="44">
        <f t="shared" si="10"/>
        <v>35794.89</v>
      </c>
      <c r="O201" s="88" t="s">
        <v>19</v>
      </c>
    </row>
    <row r="202" spans="1:15" s="91" customFormat="1" x14ac:dyDescent="0.25">
      <c r="A202" s="98"/>
      <c r="B202" s="88">
        <f t="shared" si="16"/>
        <v>198</v>
      </c>
      <c r="C202" s="89" t="s">
        <v>257</v>
      </c>
      <c r="D202" s="90" t="s">
        <v>252</v>
      </c>
      <c r="E202" s="89" t="s">
        <v>21</v>
      </c>
      <c r="F202" s="90" t="s">
        <v>258</v>
      </c>
      <c r="G202" s="43">
        <v>95000</v>
      </c>
      <c r="H202" s="43">
        <v>95000</v>
      </c>
      <c r="I202" s="43">
        <v>2726.5</v>
      </c>
      <c r="J202" s="43">
        <v>10929.24</v>
      </c>
      <c r="K202" s="43">
        <v>2888</v>
      </c>
      <c r="L202" s="43">
        <v>11151.6</v>
      </c>
      <c r="M202" s="44">
        <f>I202+J202+K202+L202</f>
        <v>27695.339999999997</v>
      </c>
      <c r="N202" s="44">
        <f t="shared" si="10"/>
        <v>67304.66</v>
      </c>
      <c r="O202" s="88" t="s">
        <v>19</v>
      </c>
    </row>
    <row r="203" spans="1:15" s="91" customFormat="1" x14ac:dyDescent="0.25">
      <c r="A203" s="87"/>
      <c r="B203" s="88">
        <f t="shared" si="16"/>
        <v>199</v>
      </c>
      <c r="C203" s="89" t="s">
        <v>259</v>
      </c>
      <c r="D203" s="90" t="s">
        <v>252</v>
      </c>
      <c r="E203" s="89" t="s">
        <v>25</v>
      </c>
      <c r="F203" s="90" t="s">
        <v>256</v>
      </c>
      <c r="G203" s="43">
        <v>50000</v>
      </c>
      <c r="H203" s="43">
        <v>50000</v>
      </c>
      <c r="I203" s="43">
        <v>1435</v>
      </c>
      <c r="J203" s="43">
        <v>1854</v>
      </c>
      <c r="K203" s="43">
        <v>1520</v>
      </c>
      <c r="L203" s="43">
        <v>10691.48</v>
      </c>
      <c r="M203" s="44">
        <f t="shared" si="9"/>
        <v>15500.48</v>
      </c>
      <c r="N203" s="44">
        <f t="shared" si="10"/>
        <v>34499.520000000004</v>
      </c>
      <c r="O203" s="88" t="s">
        <v>23</v>
      </c>
    </row>
    <row r="204" spans="1:15" s="91" customFormat="1" x14ac:dyDescent="0.25">
      <c r="A204" s="87"/>
      <c r="B204" s="88">
        <f t="shared" si="16"/>
        <v>200</v>
      </c>
      <c r="C204" s="89" t="s">
        <v>260</v>
      </c>
      <c r="D204" s="90" t="s">
        <v>252</v>
      </c>
      <c r="E204" s="89" t="s">
        <v>21</v>
      </c>
      <c r="F204" s="90" t="s">
        <v>253</v>
      </c>
      <c r="G204" s="43">
        <v>75000</v>
      </c>
      <c r="H204" s="43">
        <v>75000</v>
      </c>
      <c r="I204" s="43">
        <v>2152.5</v>
      </c>
      <c r="J204" s="43">
        <v>6309.38</v>
      </c>
      <c r="K204" s="43">
        <v>2280</v>
      </c>
      <c r="L204" s="43">
        <f>1593.5+750+100</f>
        <v>2443.5</v>
      </c>
      <c r="M204" s="44">
        <f t="shared" si="9"/>
        <v>13185.380000000001</v>
      </c>
      <c r="N204" s="44">
        <f t="shared" si="10"/>
        <v>61814.619999999995</v>
      </c>
      <c r="O204" s="88" t="s">
        <v>19</v>
      </c>
    </row>
    <row r="205" spans="1:15" s="91" customFormat="1" x14ac:dyDescent="0.25">
      <c r="A205" s="87"/>
      <c r="B205" s="88">
        <f t="shared" si="16"/>
        <v>201</v>
      </c>
      <c r="C205" s="89" t="s">
        <v>261</v>
      </c>
      <c r="D205" s="90" t="s">
        <v>252</v>
      </c>
      <c r="E205" s="89" t="s">
        <v>21</v>
      </c>
      <c r="F205" s="90" t="s">
        <v>262</v>
      </c>
      <c r="G205" s="43">
        <v>85000</v>
      </c>
      <c r="H205" s="43">
        <v>85000</v>
      </c>
      <c r="I205" s="43">
        <v>2439.5</v>
      </c>
      <c r="J205" s="43">
        <v>8576.99</v>
      </c>
      <c r="K205" s="43">
        <v>2584</v>
      </c>
      <c r="L205" s="43">
        <v>35804.75</v>
      </c>
      <c r="M205" s="44">
        <f t="shared" si="9"/>
        <v>49405.24</v>
      </c>
      <c r="N205" s="44">
        <f t="shared" si="10"/>
        <v>35594.76</v>
      </c>
      <c r="O205" s="88" t="s">
        <v>19</v>
      </c>
    </row>
    <row r="206" spans="1:15" s="91" customFormat="1" x14ac:dyDescent="0.25">
      <c r="A206" s="87"/>
      <c r="B206" s="88">
        <f t="shared" si="16"/>
        <v>202</v>
      </c>
      <c r="C206" s="89" t="s">
        <v>263</v>
      </c>
      <c r="D206" s="90" t="s">
        <v>252</v>
      </c>
      <c r="E206" s="89" t="s">
        <v>21</v>
      </c>
      <c r="F206" s="90" t="s">
        <v>258</v>
      </c>
      <c r="G206" s="43">
        <v>95000</v>
      </c>
      <c r="H206" s="43">
        <v>95000</v>
      </c>
      <c r="I206" s="43">
        <v>2726.5</v>
      </c>
      <c r="J206" s="43">
        <v>10929.24</v>
      </c>
      <c r="K206" s="43">
        <v>2888</v>
      </c>
      <c r="L206" s="43">
        <f>5249.77+63.72+100</f>
        <v>5413.4900000000007</v>
      </c>
      <c r="M206" s="44">
        <f t="shared" si="9"/>
        <v>21957.23</v>
      </c>
      <c r="N206" s="44">
        <f t="shared" si="10"/>
        <v>73042.77</v>
      </c>
      <c r="O206" s="88" t="s">
        <v>19</v>
      </c>
    </row>
    <row r="207" spans="1:15" s="91" customFormat="1" x14ac:dyDescent="0.25">
      <c r="A207" s="87"/>
      <c r="B207" s="88">
        <f t="shared" si="16"/>
        <v>203</v>
      </c>
      <c r="C207" s="89" t="s">
        <v>264</v>
      </c>
      <c r="D207" s="90" t="s">
        <v>252</v>
      </c>
      <c r="E207" s="89" t="s">
        <v>25</v>
      </c>
      <c r="F207" s="90" t="s">
        <v>256</v>
      </c>
      <c r="G207" s="43">
        <v>50000</v>
      </c>
      <c r="H207" s="43">
        <v>50000</v>
      </c>
      <c r="I207" s="43">
        <v>1435</v>
      </c>
      <c r="J207" s="43">
        <v>1854</v>
      </c>
      <c r="K207" s="43">
        <v>1520</v>
      </c>
      <c r="L207" s="43">
        <v>30578.61</v>
      </c>
      <c r="M207" s="44">
        <f t="shared" si="9"/>
        <v>35387.61</v>
      </c>
      <c r="N207" s="44">
        <f t="shared" si="10"/>
        <v>14612.39</v>
      </c>
      <c r="O207" s="88" t="s">
        <v>19</v>
      </c>
    </row>
    <row r="208" spans="1:15" s="91" customFormat="1" x14ac:dyDescent="0.25">
      <c r="A208" s="87"/>
      <c r="B208" s="88">
        <f t="shared" si="16"/>
        <v>204</v>
      </c>
      <c r="C208" s="89" t="s">
        <v>265</v>
      </c>
      <c r="D208" s="90" t="s">
        <v>252</v>
      </c>
      <c r="E208" s="89" t="s">
        <v>25</v>
      </c>
      <c r="F208" s="90" t="s">
        <v>256</v>
      </c>
      <c r="G208" s="43">
        <v>50000</v>
      </c>
      <c r="H208" s="43">
        <v>50000</v>
      </c>
      <c r="I208" s="43">
        <v>1435</v>
      </c>
      <c r="J208" s="43">
        <v>1854</v>
      </c>
      <c r="K208" s="43">
        <v>1520</v>
      </c>
      <c r="L208" s="43">
        <f>1663.42+31.21+13837.81+1675+1200</f>
        <v>18407.439999999999</v>
      </c>
      <c r="M208" s="44">
        <f>+L208+K208+J208+I208</f>
        <v>23216.44</v>
      </c>
      <c r="N208" s="44">
        <f>+G208-M208</f>
        <v>26783.56</v>
      </c>
      <c r="O208" s="88" t="s">
        <v>19</v>
      </c>
    </row>
    <row r="209" spans="1:15" s="91" customFormat="1" x14ac:dyDescent="0.25">
      <c r="A209" s="87"/>
      <c r="B209" s="88">
        <f t="shared" si="16"/>
        <v>205</v>
      </c>
      <c r="C209" s="89" t="s">
        <v>266</v>
      </c>
      <c r="D209" s="90" t="s">
        <v>252</v>
      </c>
      <c r="E209" s="89" t="s">
        <v>21</v>
      </c>
      <c r="F209" s="90" t="s">
        <v>253</v>
      </c>
      <c r="G209" s="43">
        <v>75000</v>
      </c>
      <c r="H209" s="43">
        <v>75000</v>
      </c>
      <c r="I209" s="43">
        <v>2152.5</v>
      </c>
      <c r="J209" s="43">
        <v>6309.38</v>
      </c>
      <c r="K209" s="43">
        <v>2280</v>
      </c>
      <c r="L209" s="43">
        <f>3301.64+750+31.21+100+500+15668.19</f>
        <v>20351.04</v>
      </c>
      <c r="M209" s="44">
        <f>+L209+K209+J209+I209</f>
        <v>31092.920000000002</v>
      </c>
      <c r="N209" s="44">
        <f>+G209-M209</f>
        <v>43907.08</v>
      </c>
      <c r="O209" s="88" t="s">
        <v>19</v>
      </c>
    </row>
    <row r="210" spans="1:15" s="91" customFormat="1" x14ac:dyDescent="0.25">
      <c r="A210" s="87"/>
      <c r="B210" s="88">
        <f t="shared" si="16"/>
        <v>206</v>
      </c>
      <c r="C210" s="89" t="s">
        <v>267</v>
      </c>
      <c r="D210" s="90" t="s">
        <v>252</v>
      </c>
      <c r="E210" s="89" t="s">
        <v>25</v>
      </c>
      <c r="F210" s="90" t="s">
        <v>253</v>
      </c>
      <c r="G210" s="43">
        <v>75000</v>
      </c>
      <c r="H210" s="43">
        <v>75000</v>
      </c>
      <c r="I210" s="43">
        <v>2152.5</v>
      </c>
      <c r="J210" s="43">
        <v>6309.38</v>
      </c>
      <c r="K210" s="43">
        <v>2280</v>
      </c>
      <c r="L210" s="43">
        <f>750+31.21+100+500+3658.92</f>
        <v>5040.13</v>
      </c>
      <c r="M210" s="44">
        <f t="shared" si="9"/>
        <v>15782.010000000002</v>
      </c>
      <c r="N210" s="44">
        <f t="shared" si="10"/>
        <v>59217.99</v>
      </c>
      <c r="O210" s="88" t="s">
        <v>23</v>
      </c>
    </row>
    <row r="211" spans="1:15" s="91" customFormat="1" x14ac:dyDescent="0.25">
      <c r="A211" s="87"/>
      <c r="B211" s="88">
        <f t="shared" si="16"/>
        <v>207</v>
      </c>
      <c r="C211" s="89" t="s">
        <v>268</v>
      </c>
      <c r="D211" s="90" t="s">
        <v>252</v>
      </c>
      <c r="E211" s="89" t="s">
        <v>25</v>
      </c>
      <c r="F211" s="90" t="s">
        <v>253</v>
      </c>
      <c r="G211" s="43">
        <v>35000</v>
      </c>
      <c r="H211" s="43">
        <v>35000</v>
      </c>
      <c r="I211" s="43">
        <v>1004.5</v>
      </c>
      <c r="J211" s="43">
        <v>0</v>
      </c>
      <c r="K211" s="43">
        <v>1064</v>
      </c>
      <c r="L211" s="43">
        <v>31.21</v>
      </c>
      <c r="M211" s="44">
        <f t="shared" si="9"/>
        <v>2099.71</v>
      </c>
      <c r="N211" s="44">
        <f t="shared" si="10"/>
        <v>32900.29</v>
      </c>
      <c r="O211" s="88" t="s">
        <v>19</v>
      </c>
    </row>
    <row r="212" spans="1:15" s="91" customFormat="1" x14ac:dyDescent="0.25">
      <c r="A212" s="87"/>
      <c r="B212" s="88">
        <f t="shared" si="16"/>
        <v>208</v>
      </c>
      <c r="C212" s="89" t="s">
        <v>269</v>
      </c>
      <c r="D212" s="90" t="s">
        <v>252</v>
      </c>
      <c r="E212" s="89" t="s">
        <v>21</v>
      </c>
      <c r="F212" s="90" t="s">
        <v>262</v>
      </c>
      <c r="G212" s="43">
        <v>85000</v>
      </c>
      <c r="H212" s="43">
        <v>85000</v>
      </c>
      <c r="I212" s="43">
        <v>2439.5</v>
      </c>
      <c r="J212" s="43">
        <v>8576.99</v>
      </c>
      <c r="K212" s="43">
        <v>2584</v>
      </c>
      <c r="L212" s="43">
        <v>33218.65</v>
      </c>
      <c r="M212" s="44">
        <f t="shared" si="9"/>
        <v>46819.14</v>
      </c>
      <c r="N212" s="44">
        <f t="shared" si="10"/>
        <v>38180.86</v>
      </c>
      <c r="O212" s="88" t="s">
        <v>19</v>
      </c>
    </row>
    <row r="213" spans="1:15" s="91" customFormat="1" x14ac:dyDescent="0.25">
      <c r="A213" s="87"/>
      <c r="B213" s="88">
        <f t="shared" si="16"/>
        <v>209</v>
      </c>
      <c r="C213" s="89" t="s">
        <v>270</v>
      </c>
      <c r="D213" s="90" t="s">
        <v>252</v>
      </c>
      <c r="E213" s="89" t="s">
        <v>25</v>
      </c>
      <c r="F213" s="90" t="s">
        <v>258</v>
      </c>
      <c r="G213" s="43">
        <v>95000</v>
      </c>
      <c r="H213" s="43">
        <v>95000</v>
      </c>
      <c r="I213" s="43">
        <v>2726.5</v>
      </c>
      <c r="J213" s="43">
        <v>10929.24</v>
      </c>
      <c r="K213" s="43">
        <v>2888</v>
      </c>
      <c r="L213" s="43">
        <v>3910.49</v>
      </c>
      <c r="M213" s="44">
        <f t="shared" si="9"/>
        <v>20454.229999999996</v>
      </c>
      <c r="N213" s="44">
        <f t="shared" si="10"/>
        <v>74545.77</v>
      </c>
      <c r="O213" s="88" t="s">
        <v>19</v>
      </c>
    </row>
    <row r="214" spans="1:15" s="91" customFormat="1" x14ac:dyDescent="0.25">
      <c r="A214" s="87"/>
      <c r="B214" s="88">
        <f t="shared" si="16"/>
        <v>210</v>
      </c>
      <c r="C214" s="89" t="s">
        <v>271</v>
      </c>
      <c r="D214" s="90" t="s">
        <v>252</v>
      </c>
      <c r="E214" s="89" t="s">
        <v>25</v>
      </c>
      <c r="F214" s="90" t="s">
        <v>253</v>
      </c>
      <c r="G214" s="43">
        <v>75000</v>
      </c>
      <c r="H214" s="43">
        <v>75000</v>
      </c>
      <c r="I214" s="43">
        <v>2152.5</v>
      </c>
      <c r="J214" s="43">
        <v>6309.38</v>
      </c>
      <c r="K214" s="43">
        <v>2280</v>
      </c>
      <c r="L214" s="43">
        <v>14810.4</v>
      </c>
      <c r="M214" s="44">
        <f>+L214+K214+J214+I214</f>
        <v>25552.280000000002</v>
      </c>
      <c r="N214" s="44">
        <f>+G214-M214</f>
        <v>49447.72</v>
      </c>
      <c r="O214" s="88" t="s">
        <v>19</v>
      </c>
    </row>
    <row r="215" spans="1:15" s="91" customFormat="1" x14ac:dyDescent="0.25">
      <c r="A215" s="87"/>
      <c r="B215" s="88">
        <f t="shared" si="16"/>
        <v>211</v>
      </c>
      <c r="C215" s="89" t="s">
        <v>272</v>
      </c>
      <c r="D215" s="90" t="s">
        <v>252</v>
      </c>
      <c r="E215" s="89" t="s">
        <v>21</v>
      </c>
      <c r="F215" s="90" t="s">
        <v>262</v>
      </c>
      <c r="G215" s="43">
        <v>85000</v>
      </c>
      <c r="H215" s="43">
        <v>85000</v>
      </c>
      <c r="I215" s="43">
        <v>2439.5</v>
      </c>
      <c r="J215" s="43">
        <v>8576.99</v>
      </c>
      <c r="K215" s="43">
        <v>2584</v>
      </c>
      <c r="L215" s="43">
        <v>69620.850000000006</v>
      </c>
      <c r="M215" s="44">
        <f t="shared" si="9"/>
        <v>83221.340000000011</v>
      </c>
      <c r="N215" s="44">
        <f t="shared" si="10"/>
        <v>1778.6599999999889</v>
      </c>
      <c r="O215" s="88" t="s">
        <v>19</v>
      </c>
    </row>
    <row r="216" spans="1:15" s="91" customFormat="1" x14ac:dyDescent="0.25">
      <c r="A216" s="87"/>
      <c r="B216" s="88">
        <f t="shared" si="16"/>
        <v>212</v>
      </c>
      <c r="C216" s="89" t="s">
        <v>273</v>
      </c>
      <c r="D216" s="90" t="s">
        <v>252</v>
      </c>
      <c r="E216" s="89" t="s">
        <v>25</v>
      </c>
      <c r="F216" s="90" t="s">
        <v>253</v>
      </c>
      <c r="G216" s="43">
        <v>75000</v>
      </c>
      <c r="H216" s="43">
        <v>75000</v>
      </c>
      <c r="I216" s="43">
        <v>2152.5</v>
      </c>
      <c r="J216" s="43">
        <v>6309.38</v>
      </c>
      <c r="K216" s="43">
        <v>2280</v>
      </c>
      <c r="L216" s="43">
        <v>19401.37</v>
      </c>
      <c r="M216" s="44">
        <f t="shared" si="9"/>
        <v>30143.25</v>
      </c>
      <c r="N216" s="44">
        <f t="shared" si="10"/>
        <v>44856.75</v>
      </c>
      <c r="O216" s="88" t="s">
        <v>23</v>
      </c>
    </row>
    <row r="217" spans="1:15" s="91" customFormat="1" x14ac:dyDescent="0.25">
      <c r="A217" s="87"/>
      <c r="B217" s="88">
        <f t="shared" si="16"/>
        <v>213</v>
      </c>
      <c r="C217" s="89" t="s">
        <v>274</v>
      </c>
      <c r="D217" s="90" t="s">
        <v>252</v>
      </c>
      <c r="E217" s="89" t="s">
        <v>21</v>
      </c>
      <c r="F217" s="90" t="s">
        <v>262</v>
      </c>
      <c r="G217" s="43">
        <v>85000</v>
      </c>
      <c r="H217" s="43">
        <v>85000</v>
      </c>
      <c r="I217" s="43">
        <v>2439.5</v>
      </c>
      <c r="J217" s="43">
        <v>7719.26</v>
      </c>
      <c r="K217" s="43">
        <v>2584</v>
      </c>
      <c r="L217" s="43">
        <v>3562.13</v>
      </c>
      <c r="M217" s="44">
        <f t="shared" si="9"/>
        <v>16304.89</v>
      </c>
      <c r="N217" s="44">
        <f t="shared" si="10"/>
        <v>68695.11</v>
      </c>
      <c r="O217" s="88" t="s">
        <v>23</v>
      </c>
    </row>
    <row r="218" spans="1:15" s="91" customFormat="1" x14ac:dyDescent="0.25">
      <c r="A218" s="87"/>
      <c r="B218" s="88">
        <f t="shared" si="16"/>
        <v>214</v>
      </c>
      <c r="C218" s="89" t="s">
        <v>275</v>
      </c>
      <c r="D218" s="90" t="s">
        <v>252</v>
      </c>
      <c r="E218" s="89" t="s">
        <v>21</v>
      </c>
      <c r="F218" s="90" t="s">
        <v>253</v>
      </c>
      <c r="G218" s="43">
        <v>65000</v>
      </c>
      <c r="H218" s="43">
        <v>65000</v>
      </c>
      <c r="I218" s="43">
        <v>1865.5</v>
      </c>
      <c r="J218" s="43">
        <v>4427.58</v>
      </c>
      <c r="K218" s="43">
        <v>1976</v>
      </c>
      <c r="L218" s="43">
        <v>15302.62</v>
      </c>
      <c r="M218" s="44">
        <f t="shared" si="9"/>
        <v>23571.7</v>
      </c>
      <c r="N218" s="44">
        <f t="shared" si="10"/>
        <v>41428.300000000003</v>
      </c>
      <c r="O218" s="88" t="s">
        <v>23</v>
      </c>
    </row>
    <row r="219" spans="1:15" s="91" customFormat="1" x14ac:dyDescent="0.25">
      <c r="A219" s="87"/>
      <c r="B219" s="88">
        <f t="shared" si="16"/>
        <v>215</v>
      </c>
      <c r="C219" s="89" t="s">
        <v>276</v>
      </c>
      <c r="D219" s="90" t="s">
        <v>252</v>
      </c>
      <c r="E219" s="89" t="s">
        <v>25</v>
      </c>
      <c r="F219" s="90" t="s">
        <v>256</v>
      </c>
      <c r="G219" s="43">
        <v>50000</v>
      </c>
      <c r="H219" s="43">
        <v>50000</v>
      </c>
      <c r="I219" s="43">
        <v>1435</v>
      </c>
      <c r="J219" s="43">
        <v>1596.68</v>
      </c>
      <c r="K219" s="43">
        <v>1520</v>
      </c>
      <c r="L219" s="43">
        <v>2246.67</v>
      </c>
      <c r="M219" s="44">
        <f t="shared" si="9"/>
        <v>6798.35</v>
      </c>
      <c r="N219" s="44">
        <f t="shared" si="10"/>
        <v>43201.65</v>
      </c>
      <c r="O219" s="88" t="s">
        <v>19</v>
      </c>
    </row>
    <row r="220" spans="1:15" s="91" customFormat="1" x14ac:dyDescent="0.25">
      <c r="A220" s="87"/>
      <c r="B220" s="88">
        <f t="shared" si="16"/>
        <v>216</v>
      </c>
      <c r="C220" s="89" t="s">
        <v>277</v>
      </c>
      <c r="D220" s="90" t="s">
        <v>252</v>
      </c>
      <c r="E220" s="89" t="s">
        <v>25</v>
      </c>
      <c r="F220" s="90" t="s">
        <v>278</v>
      </c>
      <c r="G220" s="43">
        <v>35000</v>
      </c>
      <c r="H220" s="43">
        <v>35000</v>
      </c>
      <c r="I220" s="43">
        <v>1004.5</v>
      </c>
      <c r="J220" s="43">
        <v>0</v>
      </c>
      <c r="K220" s="43">
        <v>1064</v>
      </c>
      <c r="L220" s="43">
        <v>12324.32</v>
      </c>
      <c r="M220" s="44">
        <f t="shared" si="9"/>
        <v>14392.82</v>
      </c>
      <c r="N220" s="44">
        <f t="shared" si="10"/>
        <v>20607.18</v>
      </c>
      <c r="O220" s="88" t="s">
        <v>23</v>
      </c>
    </row>
    <row r="221" spans="1:15" s="91" customFormat="1" x14ac:dyDescent="0.25">
      <c r="A221" s="87"/>
      <c r="B221" s="88">
        <f t="shared" si="16"/>
        <v>217</v>
      </c>
      <c r="C221" s="89" t="s">
        <v>279</v>
      </c>
      <c r="D221" s="90" t="s">
        <v>252</v>
      </c>
      <c r="E221" s="89" t="s">
        <v>25</v>
      </c>
      <c r="F221" s="90" t="s">
        <v>280</v>
      </c>
      <c r="G221" s="43">
        <v>35000</v>
      </c>
      <c r="H221" s="43">
        <v>35000</v>
      </c>
      <c r="I221" s="43">
        <v>1004.5</v>
      </c>
      <c r="J221" s="43">
        <v>0</v>
      </c>
      <c r="K221" s="43">
        <v>1064</v>
      </c>
      <c r="L221" s="43">
        <v>31.21</v>
      </c>
      <c r="M221" s="44">
        <f t="shared" si="9"/>
        <v>2099.71</v>
      </c>
      <c r="N221" s="44">
        <f t="shared" si="10"/>
        <v>32900.29</v>
      </c>
      <c r="O221" s="88" t="s">
        <v>19</v>
      </c>
    </row>
    <row r="222" spans="1:15" s="91" customFormat="1" x14ac:dyDescent="0.25">
      <c r="A222" s="87"/>
      <c r="B222" s="88">
        <f t="shared" si="16"/>
        <v>218</v>
      </c>
      <c r="C222" s="89" t="s">
        <v>281</v>
      </c>
      <c r="D222" s="90" t="s">
        <v>252</v>
      </c>
      <c r="E222" s="89" t="s">
        <v>25</v>
      </c>
      <c r="F222" s="90" t="s">
        <v>256</v>
      </c>
      <c r="G222" s="43">
        <v>50000</v>
      </c>
      <c r="H222" s="43">
        <v>50000</v>
      </c>
      <c r="I222" s="43">
        <v>1435</v>
      </c>
      <c r="J222" s="43">
        <v>1854</v>
      </c>
      <c r="K222" s="43">
        <v>1520</v>
      </c>
      <c r="L222" s="43">
        <f>531.21+1100+1675</f>
        <v>3306.21</v>
      </c>
      <c r="M222" s="44">
        <f t="shared" si="9"/>
        <v>8115.21</v>
      </c>
      <c r="N222" s="44">
        <f t="shared" si="10"/>
        <v>41884.79</v>
      </c>
      <c r="O222" s="88" t="s">
        <v>23</v>
      </c>
    </row>
    <row r="223" spans="1:15" s="91" customFormat="1" x14ac:dyDescent="0.25">
      <c r="A223" s="87"/>
      <c r="B223" s="88">
        <f t="shared" si="16"/>
        <v>219</v>
      </c>
      <c r="C223" s="89" t="s">
        <v>282</v>
      </c>
      <c r="D223" s="90" t="s">
        <v>252</v>
      </c>
      <c r="E223" s="89" t="s">
        <v>25</v>
      </c>
      <c r="F223" s="90" t="s">
        <v>256</v>
      </c>
      <c r="G223" s="43">
        <v>50000</v>
      </c>
      <c r="H223" s="43">
        <v>50000</v>
      </c>
      <c r="I223" s="43">
        <v>1435</v>
      </c>
      <c r="J223" s="43">
        <v>1854</v>
      </c>
      <c r="K223" s="43">
        <v>1520</v>
      </c>
      <c r="L223" s="43">
        <v>6863.65</v>
      </c>
      <c r="M223" s="44">
        <f t="shared" si="9"/>
        <v>11672.65</v>
      </c>
      <c r="N223" s="44">
        <f t="shared" si="10"/>
        <v>38327.35</v>
      </c>
      <c r="O223" s="88" t="s">
        <v>23</v>
      </c>
    </row>
    <row r="224" spans="1:15" s="91" customFormat="1" x14ac:dyDescent="0.25">
      <c r="A224" s="87"/>
      <c r="B224" s="88">
        <f t="shared" si="16"/>
        <v>220</v>
      </c>
      <c r="C224" s="89" t="s">
        <v>283</v>
      </c>
      <c r="D224" s="90" t="s">
        <v>252</v>
      </c>
      <c r="E224" s="89" t="s">
        <v>25</v>
      </c>
      <c r="F224" s="90" t="s">
        <v>253</v>
      </c>
      <c r="G224" s="43">
        <v>75000</v>
      </c>
      <c r="H224" s="43">
        <v>75000</v>
      </c>
      <c r="I224" s="43">
        <v>2152.5</v>
      </c>
      <c r="J224" s="43">
        <v>6309.38</v>
      </c>
      <c r="K224" s="43">
        <v>2280</v>
      </c>
      <c r="L224" s="43">
        <v>1347.07</v>
      </c>
      <c r="M224" s="44">
        <f t="shared" si="9"/>
        <v>12088.95</v>
      </c>
      <c r="N224" s="44">
        <f t="shared" si="10"/>
        <v>62911.05</v>
      </c>
      <c r="O224" s="88" t="s">
        <v>19</v>
      </c>
    </row>
    <row r="225" spans="1:15" s="91" customFormat="1" x14ac:dyDescent="0.25">
      <c r="A225" s="87"/>
      <c r="B225" s="88">
        <f t="shared" si="16"/>
        <v>221</v>
      </c>
      <c r="C225" s="89" t="s">
        <v>284</v>
      </c>
      <c r="D225" s="90" t="s">
        <v>252</v>
      </c>
      <c r="E225" s="89" t="s">
        <v>25</v>
      </c>
      <c r="F225" s="90" t="s">
        <v>285</v>
      </c>
      <c r="G225" s="43">
        <v>40000</v>
      </c>
      <c r="H225" s="43">
        <v>40000</v>
      </c>
      <c r="I225" s="43">
        <v>1148</v>
      </c>
      <c r="J225" s="43">
        <v>442.65</v>
      </c>
      <c r="K225" s="43">
        <v>1216</v>
      </c>
      <c r="L225" s="43">
        <v>4382.82</v>
      </c>
      <c r="M225" s="44">
        <f t="shared" si="9"/>
        <v>7189.4699999999993</v>
      </c>
      <c r="N225" s="44">
        <f t="shared" si="10"/>
        <v>32810.53</v>
      </c>
      <c r="O225" s="88" t="s">
        <v>19</v>
      </c>
    </row>
    <row r="226" spans="1:15" s="91" customFormat="1" x14ac:dyDescent="0.25">
      <c r="A226" s="87"/>
      <c r="B226" s="88">
        <f t="shared" si="16"/>
        <v>222</v>
      </c>
      <c r="C226" s="89" t="s">
        <v>286</v>
      </c>
      <c r="D226" s="90" t="s">
        <v>252</v>
      </c>
      <c r="E226" s="89" t="s">
        <v>25</v>
      </c>
      <c r="F226" s="90" t="s">
        <v>285</v>
      </c>
      <c r="G226" s="43">
        <v>40000</v>
      </c>
      <c r="H226" s="43">
        <v>40000</v>
      </c>
      <c r="I226" s="43">
        <v>1148</v>
      </c>
      <c r="J226" s="43">
        <v>442.65</v>
      </c>
      <c r="K226" s="43">
        <v>1216</v>
      </c>
      <c r="L226" s="43">
        <f>3925.43+27.21</f>
        <v>3952.64</v>
      </c>
      <c r="M226" s="44">
        <f t="shared" si="9"/>
        <v>6759.29</v>
      </c>
      <c r="N226" s="44">
        <f t="shared" si="10"/>
        <v>33240.71</v>
      </c>
      <c r="O226" s="88" t="s">
        <v>19</v>
      </c>
    </row>
    <row r="227" spans="1:15" s="91" customFormat="1" x14ac:dyDescent="0.25">
      <c r="A227" s="87"/>
      <c r="B227" s="88">
        <f t="shared" si="16"/>
        <v>223</v>
      </c>
      <c r="C227" s="89" t="s">
        <v>287</v>
      </c>
      <c r="D227" s="90" t="s">
        <v>252</v>
      </c>
      <c r="E227" s="89" t="s">
        <v>21</v>
      </c>
      <c r="F227" s="90" t="s">
        <v>253</v>
      </c>
      <c r="G227" s="43">
        <v>75000</v>
      </c>
      <c r="H227" s="43">
        <v>75000</v>
      </c>
      <c r="I227" s="43">
        <v>2152.5</v>
      </c>
      <c r="J227" s="43">
        <v>5966.28</v>
      </c>
      <c r="K227" s="43">
        <v>2280</v>
      </c>
      <c r="L227" s="43">
        <v>45637.88</v>
      </c>
      <c r="M227" s="44">
        <f t="shared" si="9"/>
        <v>56036.659999999996</v>
      </c>
      <c r="N227" s="44">
        <f t="shared" si="10"/>
        <v>18963.340000000004</v>
      </c>
      <c r="O227" s="88" t="s">
        <v>23</v>
      </c>
    </row>
    <row r="228" spans="1:15" s="91" customFormat="1" x14ac:dyDescent="0.25">
      <c r="A228" s="87"/>
      <c r="B228" s="88">
        <f t="shared" si="16"/>
        <v>224</v>
      </c>
      <c r="C228" s="89" t="s">
        <v>288</v>
      </c>
      <c r="D228" s="90" t="s">
        <v>252</v>
      </c>
      <c r="E228" s="89" t="s">
        <v>21</v>
      </c>
      <c r="F228" s="90" t="s">
        <v>262</v>
      </c>
      <c r="G228" s="43">
        <v>85000</v>
      </c>
      <c r="H228" s="43">
        <v>85000</v>
      </c>
      <c r="I228" s="43">
        <v>2439.5</v>
      </c>
      <c r="J228" s="43">
        <v>8576.99</v>
      </c>
      <c r="K228" s="43">
        <v>2584</v>
      </c>
      <c r="L228" s="43">
        <f>4653.18+31.21+100+2762.49+2425</f>
        <v>9971.880000000001</v>
      </c>
      <c r="M228" s="44">
        <f t="shared" si="9"/>
        <v>23572.370000000003</v>
      </c>
      <c r="N228" s="44">
        <f t="shared" si="10"/>
        <v>61427.63</v>
      </c>
      <c r="O228" s="88" t="s">
        <v>19</v>
      </c>
    </row>
    <row r="229" spans="1:15" s="91" customFormat="1" x14ac:dyDescent="0.25">
      <c r="A229" s="87"/>
      <c r="B229" s="88">
        <f t="shared" si="16"/>
        <v>225</v>
      </c>
      <c r="C229" s="89" t="s">
        <v>289</v>
      </c>
      <c r="D229" s="90" t="s">
        <v>252</v>
      </c>
      <c r="E229" s="89" t="s">
        <v>21</v>
      </c>
      <c r="F229" s="90" t="s">
        <v>262</v>
      </c>
      <c r="G229" s="43">
        <v>85000</v>
      </c>
      <c r="H229" s="43">
        <v>85000</v>
      </c>
      <c r="I229" s="43">
        <v>2439.5</v>
      </c>
      <c r="J229" s="43">
        <v>8148.13</v>
      </c>
      <c r="K229" s="43">
        <v>2584</v>
      </c>
      <c r="L229" s="43">
        <v>27786.01</v>
      </c>
      <c r="M229" s="44">
        <f t="shared" si="9"/>
        <v>40957.64</v>
      </c>
      <c r="N229" s="44">
        <f t="shared" si="10"/>
        <v>44042.36</v>
      </c>
      <c r="O229" s="88" t="s">
        <v>23</v>
      </c>
    </row>
    <row r="230" spans="1:15" s="91" customFormat="1" x14ac:dyDescent="0.25">
      <c r="A230" s="87"/>
      <c r="B230" s="88">
        <f>+B229+1</f>
        <v>226</v>
      </c>
      <c r="C230" s="89" t="s">
        <v>291</v>
      </c>
      <c r="D230" s="90" t="s">
        <v>252</v>
      </c>
      <c r="E230" s="89" t="s">
        <v>25</v>
      </c>
      <c r="F230" s="90" t="s">
        <v>285</v>
      </c>
      <c r="G230" s="43">
        <v>40000</v>
      </c>
      <c r="H230" s="43">
        <v>40000</v>
      </c>
      <c r="I230" s="43">
        <v>1148</v>
      </c>
      <c r="J230" s="43">
        <v>442.65</v>
      </c>
      <c r="K230" s="43">
        <v>1216</v>
      </c>
      <c r="L230" s="43">
        <v>131.21</v>
      </c>
      <c r="M230" s="44">
        <f t="shared" si="9"/>
        <v>2937.86</v>
      </c>
      <c r="N230" s="44">
        <f t="shared" si="10"/>
        <v>37062.14</v>
      </c>
      <c r="O230" s="88" t="s">
        <v>19</v>
      </c>
    </row>
    <row r="231" spans="1:15" s="91" customFormat="1" x14ac:dyDescent="0.25">
      <c r="A231" s="87"/>
      <c r="B231" s="88">
        <f t="shared" si="16"/>
        <v>227</v>
      </c>
      <c r="C231" s="89" t="s">
        <v>292</v>
      </c>
      <c r="D231" s="90" t="s">
        <v>252</v>
      </c>
      <c r="E231" s="89" t="s">
        <v>25</v>
      </c>
      <c r="F231" s="90" t="s">
        <v>256</v>
      </c>
      <c r="G231" s="43">
        <v>50000</v>
      </c>
      <c r="H231" s="43">
        <v>50000</v>
      </c>
      <c r="I231" s="43">
        <v>1435</v>
      </c>
      <c r="J231" s="43">
        <v>1854</v>
      </c>
      <c r="K231" s="43">
        <v>1520</v>
      </c>
      <c r="L231" s="43">
        <f>31.21+1000</f>
        <v>1031.21</v>
      </c>
      <c r="M231" s="44">
        <f t="shared" si="9"/>
        <v>5840.21</v>
      </c>
      <c r="N231" s="44">
        <f t="shared" si="10"/>
        <v>44159.79</v>
      </c>
      <c r="O231" s="88" t="s">
        <v>19</v>
      </c>
    </row>
    <row r="232" spans="1:15" s="91" customFormat="1" x14ac:dyDescent="0.25">
      <c r="A232" s="87"/>
      <c r="B232" s="88">
        <f>+B231+1</f>
        <v>228</v>
      </c>
      <c r="C232" s="89" t="s">
        <v>293</v>
      </c>
      <c r="D232" s="90" t="s">
        <v>252</v>
      </c>
      <c r="E232" s="89" t="s">
        <v>21</v>
      </c>
      <c r="F232" s="90" t="s">
        <v>290</v>
      </c>
      <c r="G232" s="43">
        <v>60000</v>
      </c>
      <c r="H232" s="43">
        <v>60000</v>
      </c>
      <c r="I232" s="43">
        <v>1722</v>
      </c>
      <c r="J232" s="43">
        <v>3486.68</v>
      </c>
      <c r="K232" s="43">
        <v>1824</v>
      </c>
      <c r="L232" s="43">
        <v>19714.7</v>
      </c>
      <c r="M232" s="44">
        <f t="shared" si="9"/>
        <v>26747.38</v>
      </c>
      <c r="N232" s="44">
        <f t="shared" si="10"/>
        <v>33252.619999999995</v>
      </c>
      <c r="O232" s="88" t="s">
        <v>19</v>
      </c>
    </row>
    <row r="233" spans="1:15" s="91" customFormat="1" x14ac:dyDescent="0.25">
      <c r="A233" s="87"/>
      <c r="B233" s="88">
        <f t="shared" si="16"/>
        <v>229</v>
      </c>
      <c r="C233" s="89" t="s">
        <v>294</v>
      </c>
      <c r="D233" s="90" t="s">
        <v>252</v>
      </c>
      <c r="E233" s="89" t="s">
        <v>21</v>
      </c>
      <c r="F233" s="90" t="s">
        <v>253</v>
      </c>
      <c r="G233" s="43">
        <v>75000</v>
      </c>
      <c r="H233" s="43">
        <v>75000</v>
      </c>
      <c r="I233" s="43">
        <v>2152.5</v>
      </c>
      <c r="J233" s="43">
        <v>5966.28</v>
      </c>
      <c r="K233" s="43">
        <v>2280</v>
      </c>
      <c r="L233" s="43">
        <f>140+1593.5+750+31.21+100+5000+3425+18262.34+7200+1715.46</f>
        <v>38217.51</v>
      </c>
      <c r="M233" s="44">
        <f t="shared" si="9"/>
        <v>48616.29</v>
      </c>
      <c r="N233" s="44">
        <f t="shared" si="10"/>
        <v>26383.71</v>
      </c>
      <c r="O233" s="88" t="s">
        <v>23</v>
      </c>
    </row>
    <row r="234" spans="1:15" s="91" customFormat="1" x14ac:dyDescent="0.25">
      <c r="A234" s="87"/>
      <c r="B234" s="88">
        <f t="shared" si="16"/>
        <v>230</v>
      </c>
      <c r="C234" s="89" t="s">
        <v>295</v>
      </c>
      <c r="D234" s="90" t="s">
        <v>252</v>
      </c>
      <c r="E234" s="89" t="s">
        <v>21</v>
      </c>
      <c r="F234" s="90" t="s">
        <v>262</v>
      </c>
      <c r="G234" s="43">
        <v>85000</v>
      </c>
      <c r="H234" s="43">
        <v>85000</v>
      </c>
      <c r="I234" s="43">
        <v>2439.5</v>
      </c>
      <c r="J234" s="43">
        <v>8576.99</v>
      </c>
      <c r="K234" s="43">
        <v>2584</v>
      </c>
      <c r="L234" s="43">
        <v>3330.85</v>
      </c>
      <c r="M234" s="44">
        <f t="shared" si="9"/>
        <v>16931.34</v>
      </c>
      <c r="N234" s="44">
        <f>+G234-M234</f>
        <v>68068.66</v>
      </c>
      <c r="O234" s="88" t="s">
        <v>19</v>
      </c>
    </row>
    <row r="235" spans="1:15" s="91" customFormat="1" x14ac:dyDescent="0.25">
      <c r="A235" s="87"/>
      <c r="B235" s="88">
        <f t="shared" si="16"/>
        <v>231</v>
      </c>
      <c r="C235" s="89" t="s">
        <v>296</v>
      </c>
      <c r="D235" s="90" t="s">
        <v>252</v>
      </c>
      <c r="E235" s="89" t="s">
        <v>21</v>
      </c>
      <c r="F235" s="90" t="s">
        <v>290</v>
      </c>
      <c r="G235" s="43">
        <v>60000</v>
      </c>
      <c r="H235" s="43">
        <v>60000</v>
      </c>
      <c r="I235" s="43">
        <v>1722</v>
      </c>
      <c r="J235" s="43">
        <v>3486.68</v>
      </c>
      <c r="K235" s="43">
        <v>1824</v>
      </c>
      <c r="L235" s="43">
        <v>20763.34</v>
      </c>
      <c r="M235" s="44">
        <f t="shared" si="9"/>
        <v>27796.02</v>
      </c>
      <c r="N235" s="44">
        <f t="shared" si="10"/>
        <v>32203.98</v>
      </c>
      <c r="O235" s="88" t="s">
        <v>19</v>
      </c>
    </row>
    <row r="236" spans="1:15" s="91" customFormat="1" x14ac:dyDescent="0.25">
      <c r="A236" s="87"/>
      <c r="B236" s="88">
        <f t="shared" si="16"/>
        <v>232</v>
      </c>
      <c r="C236" s="89" t="s">
        <v>297</v>
      </c>
      <c r="D236" s="90" t="s">
        <v>252</v>
      </c>
      <c r="E236" s="89" t="s">
        <v>21</v>
      </c>
      <c r="F236" s="90" t="s">
        <v>253</v>
      </c>
      <c r="G236" s="43">
        <v>75000</v>
      </c>
      <c r="H236" s="43">
        <v>75000</v>
      </c>
      <c r="I236" s="43">
        <v>2152.5</v>
      </c>
      <c r="J236" s="43">
        <v>6309.38</v>
      </c>
      <c r="K236" s="43">
        <v>2280</v>
      </c>
      <c r="L236" s="43">
        <v>22452.85</v>
      </c>
      <c r="M236" s="44">
        <f>+L236+K236+J236+I236</f>
        <v>33194.729999999996</v>
      </c>
      <c r="N236" s="44">
        <f>+G236-M236</f>
        <v>41805.270000000004</v>
      </c>
      <c r="O236" s="88" t="s">
        <v>19</v>
      </c>
    </row>
    <row r="237" spans="1:15" s="91" customFormat="1" x14ac:dyDescent="0.25">
      <c r="A237" s="87"/>
      <c r="B237" s="88">
        <f t="shared" si="16"/>
        <v>233</v>
      </c>
      <c r="C237" s="89" t="s">
        <v>298</v>
      </c>
      <c r="D237" s="90" t="s">
        <v>252</v>
      </c>
      <c r="E237" s="89" t="s">
        <v>21</v>
      </c>
      <c r="F237" s="90" t="s">
        <v>253</v>
      </c>
      <c r="G237" s="43">
        <v>75000</v>
      </c>
      <c r="H237" s="43">
        <v>75000</v>
      </c>
      <c r="I237" s="43">
        <v>2152.5</v>
      </c>
      <c r="J237" s="43">
        <v>6309.38</v>
      </c>
      <c r="K237" s="43">
        <v>2280</v>
      </c>
      <c r="L237" s="43">
        <v>40716.550000000003</v>
      </c>
      <c r="M237" s="44">
        <f t="shared" si="9"/>
        <v>51458.430000000008</v>
      </c>
      <c r="N237" s="44">
        <f t="shared" si="10"/>
        <v>23541.569999999992</v>
      </c>
      <c r="O237" s="88" t="s">
        <v>23</v>
      </c>
    </row>
    <row r="238" spans="1:15" s="91" customFormat="1" x14ac:dyDescent="0.25">
      <c r="A238" s="87"/>
      <c r="B238" s="88">
        <f t="shared" si="16"/>
        <v>234</v>
      </c>
      <c r="C238" s="89" t="s">
        <v>299</v>
      </c>
      <c r="D238" s="90" t="s">
        <v>252</v>
      </c>
      <c r="E238" s="89" t="s">
        <v>25</v>
      </c>
      <c r="F238" s="90" t="s">
        <v>258</v>
      </c>
      <c r="G238" s="43">
        <v>95000</v>
      </c>
      <c r="H238" s="43">
        <v>95000</v>
      </c>
      <c r="I238" s="43">
        <v>2726.5</v>
      </c>
      <c r="J238" s="43">
        <v>10929.24</v>
      </c>
      <c r="K238" s="43">
        <v>2888</v>
      </c>
      <c r="L238" s="43">
        <f>5322.69</f>
        <v>5322.69</v>
      </c>
      <c r="M238" s="44">
        <f>+L238+K238+J238+I238</f>
        <v>21866.43</v>
      </c>
      <c r="N238" s="44">
        <f>+G238-M238</f>
        <v>73133.570000000007</v>
      </c>
      <c r="O238" s="88" t="s">
        <v>23</v>
      </c>
    </row>
    <row r="239" spans="1:15" s="39" customFormat="1" x14ac:dyDescent="0.25">
      <c r="A239" s="12"/>
      <c r="B239" s="81">
        <f t="shared" si="16"/>
        <v>235</v>
      </c>
      <c r="C239" s="82" t="s">
        <v>300</v>
      </c>
      <c r="D239" s="83" t="s">
        <v>252</v>
      </c>
      <c r="E239" s="82" t="s">
        <v>21</v>
      </c>
      <c r="F239" s="83" t="s">
        <v>258</v>
      </c>
      <c r="G239" s="84">
        <v>95000</v>
      </c>
      <c r="H239" s="84">
        <v>95000</v>
      </c>
      <c r="I239" s="84">
        <v>2726.5</v>
      </c>
      <c r="J239" s="84">
        <v>10500.38</v>
      </c>
      <c r="K239" s="84">
        <v>2888</v>
      </c>
      <c r="L239" s="84">
        <v>32989.26</v>
      </c>
      <c r="M239" s="85">
        <f t="shared" si="9"/>
        <v>49104.14</v>
      </c>
      <c r="N239" s="85">
        <f t="shared" si="10"/>
        <v>45895.86</v>
      </c>
      <c r="O239" s="81" t="s">
        <v>19</v>
      </c>
    </row>
    <row r="240" spans="1:15" s="91" customFormat="1" x14ac:dyDescent="0.25">
      <c r="A240" s="87"/>
      <c r="B240" s="88">
        <f t="shared" si="16"/>
        <v>236</v>
      </c>
      <c r="C240" s="89" t="s">
        <v>301</v>
      </c>
      <c r="D240" s="90" t="s">
        <v>252</v>
      </c>
      <c r="E240" s="89" t="s">
        <v>21</v>
      </c>
      <c r="F240" s="90" t="s">
        <v>253</v>
      </c>
      <c r="G240" s="43">
        <v>75000</v>
      </c>
      <c r="H240" s="43">
        <v>75000</v>
      </c>
      <c r="I240" s="43">
        <v>2152.5</v>
      </c>
      <c r="J240" s="43">
        <v>5966.28</v>
      </c>
      <c r="K240" s="43">
        <v>2280</v>
      </c>
      <c r="L240" s="43">
        <v>12755.15</v>
      </c>
      <c r="M240" s="44">
        <f t="shared" si="9"/>
        <v>23153.93</v>
      </c>
      <c r="N240" s="44">
        <f t="shared" si="10"/>
        <v>51846.07</v>
      </c>
      <c r="O240" s="88" t="s">
        <v>23</v>
      </c>
    </row>
    <row r="241" spans="1:15" s="91" customFormat="1" x14ac:dyDescent="0.25">
      <c r="A241" s="87"/>
      <c r="B241" s="88">
        <f t="shared" si="16"/>
        <v>237</v>
      </c>
      <c r="C241" s="89" t="s">
        <v>302</v>
      </c>
      <c r="D241" s="90" t="s">
        <v>252</v>
      </c>
      <c r="E241" s="89" t="s">
        <v>21</v>
      </c>
      <c r="F241" s="90" t="s">
        <v>253</v>
      </c>
      <c r="G241" s="43">
        <v>75000</v>
      </c>
      <c r="H241" s="43">
        <v>75000</v>
      </c>
      <c r="I241" s="43">
        <v>2152.5</v>
      </c>
      <c r="J241" s="43">
        <v>6309.38</v>
      </c>
      <c r="K241" s="43">
        <v>2280</v>
      </c>
      <c r="L241" s="43">
        <f>31.21+5100+17795.56+1715.46+2637.48-1715.46</f>
        <v>25564.25</v>
      </c>
      <c r="M241" s="44">
        <f t="shared" si="9"/>
        <v>36306.130000000005</v>
      </c>
      <c r="N241" s="44">
        <f t="shared" si="10"/>
        <v>38693.869999999995</v>
      </c>
      <c r="O241" s="88" t="s">
        <v>23</v>
      </c>
    </row>
    <row r="242" spans="1:15" s="91" customFormat="1" x14ac:dyDescent="0.25">
      <c r="A242" s="87"/>
      <c r="B242" s="88">
        <f t="shared" si="16"/>
        <v>238</v>
      </c>
      <c r="C242" s="89" t="s">
        <v>303</v>
      </c>
      <c r="D242" s="90" t="s">
        <v>252</v>
      </c>
      <c r="E242" s="89" t="s">
        <v>25</v>
      </c>
      <c r="F242" s="90" t="s">
        <v>262</v>
      </c>
      <c r="G242" s="43">
        <v>85000</v>
      </c>
      <c r="H242" s="43">
        <v>85000</v>
      </c>
      <c r="I242" s="43">
        <v>2439.5</v>
      </c>
      <c r="J242" s="43">
        <v>8576.99</v>
      </c>
      <c r="K242" s="43">
        <v>2584</v>
      </c>
      <c r="L242" s="43">
        <f>8865.29+27.21+100</f>
        <v>8992.5</v>
      </c>
      <c r="M242" s="44">
        <f t="shared" si="9"/>
        <v>22592.989999999998</v>
      </c>
      <c r="N242" s="44">
        <f t="shared" si="10"/>
        <v>62407.01</v>
      </c>
      <c r="O242" s="88" t="s">
        <v>19</v>
      </c>
    </row>
    <row r="243" spans="1:15" s="91" customFormat="1" x14ac:dyDescent="0.25">
      <c r="A243" s="87"/>
      <c r="B243" s="88">
        <f t="shared" si="16"/>
        <v>239</v>
      </c>
      <c r="C243" s="89" t="s">
        <v>304</v>
      </c>
      <c r="D243" s="90" t="s">
        <v>252</v>
      </c>
      <c r="E243" s="89" t="s">
        <v>25</v>
      </c>
      <c r="F243" s="90" t="s">
        <v>262</v>
      </c>
      <c r="G243" s="43">
        <v>38967.5</v>
      </c>
      <c r="H243" s="43">
        <v>38967.5</v>
      </c>
      <c r="I243" s="43">
        <v>1118.3699999999999</v>
      </c>
      <c r="J243" s="43">
        <v>296.93</v>
      </c>
      <c r="K243" s="43">
        <v>1184.6099999999999</v>
      </c>
      <c r="L243" s="43">
        <f>1039.64+31.21+100+1000</f>
        <v>2170.8500000000004</v>
      </c>
      <c r="M243" s="44">
        <f t="shared" si="9"/>
        <v>4770.76</v>
      </c>
      <c r="N243" s="44">
        <f t="shared" si="10"/>
        <v>34196.74</v>
      </c>
      <c r="O243" s="88" t="s">
        <v>23</v>
      </c>
    </row>
    <row r="244" spans="1:15" s="39" customFormat="1" x14ac:dyDescent="0.25">
      <c r="A244" s="12"/>
      <c r="B244" s="81">
        <f t="shared" si="16"/>
        <v>240</v>
      </c>
      <c r="C244" s="82" t="s">
        <v>305</v>
      </c>
      <c r="D244" s="83" t="s">
        <v>252</v>
      </c>
      <c r="E244" s="82" t="s">
        <v>21</v>
      </c>
      <c r="F244" s="83" t="s">
        <v>253</v>
      </c>
      <c r="G244" s="84">
        <v>75000</v>
      </c>
      <c r="H244" s="84">
        <v>75000</v>
      </c>
      <c r="I244" s="84">
        <v>2152.5</v>
      </c>
      <c r="J244" s="84">
        <v>6309.38</v>
      </c>
      <c r="K244" s="84">
        <v>2280</v>
      </c>
      <c r="L244" s="84">
        <v>11795.05</v>
      </c>
      <c r="M244" s="85">
        <f>+L244+K244+J244+I244</f>
        <v>22536.93</v>
      </c>
      <c r="N244" s="85">
        <f>+G244-M244</f>
        <v>52463.07</v>
      </c>
      <c r="O244" s="81" t="s">
        <v>19</v>
      </c>
    </row>
    <row r="245" spans="1:15" s="91" customFormat="1" x14ac:dyDescent="0.25">
      <c r="A245" s="87"/>
      <c r="B245" s="88">
        <f t="shared" si="16"/>
        <v>241</v>
      </c>
      <c r="C245" s="89" t="s">
        <v>306</v>
      </c>
      <c r="D245" s="90" t="s">
        <v>252</v>
      </c>
      <c r="E245" s="89" t="s">
        <v>25</v>
      </c>
      <c r="F245" s="90" t="s">
        <v>253</v>
      </c>
      <c r="G245" s="43">
        <v>50000</v>
      </c>
      <c r="H245" s="43">
        <v>50000</v>
      </c>
      <c r="I245" s="43">
        <v>1435</v>
      </c>
      <c r="J245" s="43">
        <v>1854</v>
      </c>
      <c r="K245" s="43">
        <v>1520</v>
      </c>
      <c r="L245" s="43">
        <v>627.21</v>
      </c>
      <c r="M245" s="44">
        <f t="shared" ref="M245:M304" si="17">SUM(I245:L245)</f>
        <v>5436.21</v>
      </c>
      <c r="N245" s="44">
        <f t="shared" ref="N245:N304" si="18">G245-M245</f>
        <v>44563.79</v>
      </c>
      <c r="O245" s="88" t="s">
        <v>19</v>
      </c>
    </row>
    <row r="246" spans="1:15" s="91" customFormat="1" x14ac:dyDescent="0.25">
      <c r="A246" s="87"/>
      <c r="B246" s="88">
        <f t="shared" si="16"/>
        <v>242</v>
      </c>
      <c r="C246" s="89" t="s">
        <v>307</v>
      </c>
      <c r="D246" s="90" t="s">
        <v>252</v>
      </c>
      <c r="E246" s="89" t="s">
        <v>21</v>
      </c>
      <c r="F246" s="90" t="s">
        <v>253</v>
      </c>
      <c r="G246" s="43">
        <v>75000</v>
      </c>
      <c r="H246" s="43">
        <v>75000</v>
      </c>
      <c r="I246" s="43">
        <v>2152.5</v>
      </c>
      <c r="J246" s="43">
        <v>5966.28</v>
      </c>
      <c r="K246" s="43">
        <v>2280</v>
      </c>
      <c r="L246" s="43">
        <v>25046.67</v>
      </c>
      <c r="M246" s="44">
        <f t="shared" si="17"/>
        <v>35445.449999999997</v>
      </c>
      <c r="N246" s="44">
        <f t="shared" si="18"/>
        <v>39554.550000000003</v>
      </c>
      <c r="O246" s="88" t="s">
        <v>19</v>
      </c>
    </row>
    <row r="247" spans="1:15" s="91" customFormat="1" x14ac:dyDescent="0.25">
      <c r="A247" s="87"/>
      <c r="B247" s="88">
        <f t="shared" si="16"/>
        <v>243</v>
      </c>
      <c r="C247" s="89" t="s">
        <v>308</v>
      </c>
      <c r="D247" s="90" t="s">
        <v>252</v>
      </c>
      <c r="E247" s="89" t="s">
        <v>21</v>
      </c>
      <c r="F247" s="90" t="s">
        <v>253</v>
      </c>
      <c r="G247" s="43">
        <v>75000</v>
      </c>
      <c r="H247" s="43">
        <v>75000</v>
      </c>
      <c r="I247" s="43">
        <v>2152.5</v>
      </c>
      <c r="J247" s="43">
        <v>6309.38</v>
      </c>
      <c r="K247" s="43">
        <v>2280</v>
      </c>
      <c r="L247" s="43">
        <v>18950.03</v>
      </c>
      <c r="M247" s="44">
        <f t="shared" si="17"/>
        <v>29691.91</v>
      </c>
      <c r="N247" s="44">
        <f t="shared" si="18"/>
        <v>45308.09</v>
      </c>
      <c r="O247" s="88" t="s">
        <v>19</v>
      </c>
    </row>
    <row r="248" spans="1:15" s="91" customFormat="1" x14ac:dyDescent="0.25">
      <c r="A248" s="87"/>
      <c r="B248" s="88">
        <f t="shared" si="16"/>
        <v>244</v>
      </c>
      <c r="C248" s="89" t="s">
        <v>309</v>
      </c>
      <c r="D248" s="90" t="s">
        <v>252</v>
      </c>
      <c r="E248" s="89" t="s">
        <v>21</v>
      </c>
      <c r="F248" s="90" t="s">
        <v>290</v>
      </c>
      <c r="G248" s="43">
        <v>60000</v>
      </c>
      <c r="H248" s="43">
        <v>60000</v>
      </c>
      <c r="I248" s="43">
        <v>1722</v>
      </c>
      <c r="J248" s="43">
        <v>3486.68</v>
      </c>
      <c r="K248" s="43">
        <v>1824</v>
      </c>
      <c r="L248" s="43">
        <v>17031.91</v>
      </c>
      <c r="M248" s="44">
        <f t="shared" si="17"/>
        <v>24064.59</v>
      </c>
      <c r="N248" s="44">
        <f t="shared" si="18"/>
        <v>35935.410000000003</v>
      </c>
      <c r="O248" s="88" t="s">
        <v>19</v>
      </c>
    </row>
    <row r="249" spans="1:15" s="91" customFormat="1" x14ac:dyDescent="0.25">
      <c r="A249" s="87"/>
      <c r="B249" s="88">
        <f t="shared" si="16"/>
        <v>245</v>
      </c>
      <c r="C249" s="89" t="s">
        <v>310</v>
      </c>
      <c r="D249" s="90" t="s">
        <v>252</v>
      </c>
      <c r="E249" s="89" t="s">
        <v>21</v>
      </c>
      <c r="F249" s="90" t="s">
        <v>253</v>
      </c>
      <c r="G249" s="43">
        <v>75000</v>
      </c>
      <c r="H249" s="43">
        <v>75000</v>
      </c>
      <c r="I249" s="43">
        <v>2152.5</v>
      </c>
      <c r="J249" s="43">
        <v>6309.38</v>
      </c>
      <c r="K249" s="43">
        <v>2280</v>
      </c>
      <c r="L249" s="43">
        <v>39276.51</v>
      </c>
      <c r="M249" s="44">
        <f t="shared" si="17"/>
        <v>50018.39</v>
      </c>
      <c r="N249" s="44">
        <f t="shared" si="18"/>
        <v>24981.61</v>
      </c>
      <c r="O249" s="88" t="s">
        <v>23</v>
      </c>
    </row>
    <row r="250" spans="1:15" s="91" customFormat="1" x14ac:dyDescent="0.25">
      <c r="A250" s="87"/>
      <c r="B250" s="88">
        <f t="shared" si="16"/>
        <v>246</v>
      </c>
      <c r="C250" s="89" t="s">
        <v>311</v>
      </c>
      <c r="D250" s="90" t="s">
        <v>252</v>
      </c>
      <c r="E250" s="89" t="s">
        <v>25</v>
      </c>
      <c r="F250" s="90" t="s">
        <v>258</v>
      </c>
      <c r="G250" s="43">
        <v>95000</v>
      </c>
      <c r="H250" s="43">
        <v>95000</v>
      </c>
      <c r="I250" s="43">
        <v>2726.5</v>
      </c>
      <c r="J250" s="43">
        <v>10929.24</v>
      </c>
      <c r="K250" s="43">
        <v>2888</v>
      </c>
      <c r="L250" s="43">
        <v>5639.19</v>
      </c>
      <c r="M250" s="44">
        <f>+L250+K250+J250+I250</f>
        <v>22182.93</v>
      </c>
      <c r="N250" s="44">
        <f t="shared" si="18"/>
        <v>72817.070000000007</v>
      </c>
      <c r="O250" s="88" t="s">
        <v>19</v>
      </c>
    </row>
    <row r="251" spans="1:15" s="91" customFormat="1" x14ac:dyDescent="0.25">
      <c r="A251" s="87"/>
      <c r="B251" s="88">
        <f t="shared" si="16"/>
        <v>247</v>
      </c>
      <c r="C251" s="89" t="s">
        <v>312</v>
      </c>
      <c r="D251" s="90" t="s">
        <v>252</v>
      </c>
      <c r="E251" s="89" t="s">
        <v>21</v>
      </c>
      <c r="F251" s="90" t="s">
        <v>258</v>
      </c>
      <c r="G251" s="43">
        <v>95000</v>
      </c>
      <c r="H251" s="43">
        <v>95000</v>
      </c>
      <c r="I251" s="43">
        <v>2726.5</v>
      </c>
      <c r="J251" s="43">
        <v>10500.38</v>
      </c>
      <c r="K251" s="43">
        <v>2888</v>
      </c>
      <c r="L251" s="43">
        <f>831.71+31.21+100+1715.46</f>
        <v>2678.38</v>
      </c>
      <c r="M251" s="44">
        <f t="shared" si="17"/>
        <v>18793.259999999998</v>
      </c>
      <c r="N251" s="44">
        <f t="shared" si="18"/>
        <v>76206.740000000005</v>
      </c>
      <c r="O251" s="88" t="s">
        <v>19</v>
      </c>
    </row>
    <row r="252" spans="1:15" s="91" customFormat="1" x14ac:dyDescent="0.25">
      <c r="A252" s="87"/>
      <c r="B252" s="88">
        <f t="shared" si="16"/>
        <v>248</v>
      </c>
      <c r="C252" s="89" t="s">
        <v>313</v>
      </c>
      <c r="D252" s="90" t="s">
        <v>252</v>
      </c>
      <c r="E252" s="89" t="s">
        <v>25</v>
      </c>
      <c r="F252" s="90" t="s">
        <v>262</v>
      </c>
      <c r="G252" s="43">
        <v>85000</v>
      </c>
      <c r="H252" s="43">
        <v>85000</v>
      </c>
      <c r="I252" s="43">
        <v>2439.5</v>
      </c>
      <c r="J252" s="43">
        <v>8148.13</v>
      </c>
      <c r="K252" s="43">
        <v>2584</v>
      </c>
      <c r="L252" s="43">
        <f>1455.5+27.21+100+18679.07+2225+1715.46</f>
        <v>24202.239999999998</v>
      </c>
      <c r="M252" s="44">
        <f>+L252+K252+J252+I252</f>
        <v>37373.869999999995</v>
      </c>
      <c r="N252" s="44">
        <f>+G252-M252</f>
        <v>47626.130000000005</v>
      </c>
      <c r="O252" s="88" t="s">
        <v>19</v>
      </c>
    </row>
    <row r="253" spans="1:15" s="91" customFormat="1" x14ac:dyDescent="0.25">
      <c r="A253" s="87"/>
      <c r="B253" s="88">
        <f t="shared" si="16"/>
        <v>249</v>
      </c>
      <c r="C253" s="89" t="s">
        <v>314</v>
      </c>
      <c r="D253" s="90" t="s">
        <v>252</v>
      </c>
      <c r="E253" s="89" t="s">
        <v>21</v>
      </c>
      <c r="F253" s="90" t="s">
        <v>262</v>
      </c>
      <c r="G253" s="43">
        <v>85000</v>
      </c>
      <c r="H253" s="43">
        <v>85000</v>
      </c>
      <c r="I253" s="43">
        <v>2439.5</v>
      </c>
      <c r="J253" s="43">
        <v>8576.99</v>
      </c>
      <c r="K253" s="43">
        <v>2584</v>
      </c>
      <c r="L253" s="43">
        <v>3232.19</v>
      </c>
      <c r="M253" s="44">
        <f t="shared" si="17"/>
        <v>16832.68</v>
      </c>
      <c r="N253" s="44">
        <f t="shared" si="18"/>
        <v>68167.320000000007</v>
      </c>
      <c r="O253" s="88" t="s">
        <v>19</v>
      </c>
    </row>
    <row r="254" spans="1:15" s="91" customFormat="1" x14ac:dyDescent="0.25">
      <c r="A254" s="87"/>
      <c r="B254" s="88">
        <f t="shared" si="16"/>
        <v>250</v>
      </c>
      <c r="C254" s="89" t="s">
        <v>315</v>
      </c>
      <c r="D254" s="90" t="s">
        <v>252</v>
      </c>
      <c r="E254" s="89" t="s">
        <v>21</v>
      </c>
      <c r="F254" s="90" t="s">
        <v>262</v>
      </c>
      <c r="G254" s="43">
        <v>85000</v>
      </c>
      <c r="H254" s="43">
        <v>85000</v>
      </c>
      <c r="I254" s="43">
        <v>2439.5</v>
      </c>
      <c r="J254" s="43">
        <v>8148.13</v>
      </c>
      <c r="K254" s="43">
        <v>2584</v>
      </c>
      <c r="L254" s="43">
        <f>131.21+1000+1715.46+2975</f>
        <v>5821.67</v>
      </c>
      <c r="M254" s="44">
        <f>+L254+K254+J254+I254</f>
        <v>18993.3</v>
      </c>
      <c r="N254" s="44">
        <f t="shared" si="18"/>
        <v>66006.7</v>
      </c>
      <c r="O254" s="88" t="s">
        <v>23</v>
      </c>
    </row>
    <row r="255" spans="1:15" s="91" customFormat="1" x14ac:dyDescent="0.25">
      <c r="A255" s="87"/>
      <c r="B255" s="88">
        <f t="shared" si="16"/>
        <v>251</v>
      </c>
      <c r="C255" s="89" t="s">
        <v>316</v>
      </c>
      <c r="D255" s="90" t="s">
        <v>252</v>
      </c>
      <c r="E255" s="89" t="s">
        <v>25</v>
      </c>
      <c r="F255" s="90" t="s">
        <v>290</v>
      </c>
      <c r="G255" s="43">
        <v>60000</v>
      </c>
      <c r="H255" s="43">
        <v>60000</v>
      </c>
      <c r="I255" s="43">
        <v>1722</v>
      </c>
      <c r="J255" s="43">
        <v>3486.68</v>
      </c>
      <c r="K255" s="43">
        <v>1824</v>
      </c>
      <c r="L255" s="43">
        <v>2783.05</v>
      </c>
      <c r="M255" s="44">
        <f t="shared" si="17"/>
        <v>9815.73</v>
      </c>
      <c r="N255" s="44">
        <f t="shared" si="18"/>
        <v>50184.270000000004</v>
      </c>
      <c r="O255" s="88" t="s">
        <v>19</v>
      </c>
    </row>
    <row r="256" spans="1:15" s="91" customFormat="1" x14ac:dyDescent="0.25">
      <c r="A256" s="87"/>
      <c r="B256" s="88">
        <f>+B255+1</f>
        <v>252</v>
      </c>
      <c r="C256" s="89" t="s">
        <v>317</v>
      </c>
      <c r="D256" s="90" t="s">
        <v>252</v>
      </c>
      <c r="E256" s="89" t="s">
        <v>21</v>
      </c>
      <c r="F256" s="90" t="s">
        <v>253</v>
      </c>
      <c r="G256" s="43">
        <v>75000</v>
      </c>
      <c r="H256" s="43">
        <v>75000</v>
      </c>
      <c r="I256" s="43">
        <v>2152.5</v>
      </c>
      <c r="J256" s="43">
        <v>6309.38</v>
      </c>
      <c r="K256" s="43">
        <v>2280</v>
      </c>
      <c r="L256" s="43">
        <f>31.21+100+1000+7344.46</f>
        <v>8475.67</v>
      </c>
      <c r="M256" s="44">
        <f t="shared" si="17"/>
        <v>19217.550000000003</v>
      </c>
      <c r="N256" s="44">
        <f t="shared" si="18"/>
        <v>55782.45</v>
      </c>
      <c r="O256" s="88" t="s">
        <v>19</v>
      </c>
    </row>
    <row r="257" spans="1:15" s="91" customFormat="1" x14ac:dyDescent="0.25">
      <c r="A257" s="87"/>
      <c r="B257" s="88">
        <f t="shared" si="16"/>
        <v>253</v>
      </c>
      <c r="C257" s="89" t="s">
        <v>318</v>
      </c>
      <c r="D257" s="90" t="s">
        <v>252</v>
      </c>
      <c r="E257" s="89" t="s">
        <v>21</v>
      </c>
      <c r="F257" s="90" t="s">
        <v>262</v>
      </c>
      <c r="G257" s="43">
        <v>85000</v>
      </c>
      <c r="H257" s="43">
        <v>85000</v>
      </c>
      <c r="I257" s="43">
        <v>2439.5</v>
      </c>
      <c r="J257" s="43">
        <v>8576.99</v>
      </c>
      <c r="K257" s="43">
        <v>2584</v>
      </c>
      <c r="L257" s="43">
        <f>3717.5+31.21+100+500</f>
        <v>4348.71</v>
      </c>
      <c r="M257" s="44">
        <f>+L257+K257+J257+I257</f>
        <v>17949.2</v>
      </c>
      <c r="N257" s="44">
        <f>+G257-M257</f>
        <v>67050.8</v>
      </c>
      <c r="O257" s="88" t="s">
        <v>19</v>
      </c>
    </row>
    <row r="258" spans="1:15" s="39" customFormat="1" x14ac:dyDescent="0.25">
      <c r="A258" s="12"/>
      <c r="B258" s="81">
        <f t="shared" ref="B258:B321" si="19">+B257+1</f>
        <v>254</v>
      </c>
      <c r="C258" s="82" t="s">
        <v>319</v>
      </c>
      <c r="D258" s="83" t="s">
        <v>252</v>
      </c>
      <c r="E258" s="82" t="s">
        <v>21</v>
      </c>
      <c r="F258" s="83" t="s">
        <v>262</v>
      </c>
      <c r="G258" s="84">
        <v>85000</v>
      </c>
      <c r="H258" s="84">
        <v>85000</v>
      </c>
      <c r="I258" s="84">
        <v>2439.5</v>
      </c>
      <c r="J258" s="84">
        <v>8148.13</v>
      </c>
      <c r="K258" s="84">
        <v>2584</v>
      </c>
      <c r="L258" s="84">
        <v>6853.38</v>
      </c>
      <c r="M258" s="85">
        <f t="shared" si="17"/>
        <v>20025.010000000002</v>
      </c>
      <c r="N258" s="85">
        <f t="shared" si="18"/>
        <v>64974.99</v>
      </c>
      <c r="O258" s="81" t="s">
        <v>23</v>
      </c>
    </row>
    <row r="259" spans="1:15" s="91" customFormat="1" x14ac:dyDescent="0.25">
      <c r="A259" s="87"/>
      <c r="B259" s="88">
        <f t="shared" si="19"/>
        <v>255</v>
      </c>
      <c r="C259" s="89" t="s">
        <v>320</v>
      </c>
      <c r="D259" s="90" t="s">
        <v>252</v>
      </c>
      <c r="E259" s="89" t="s">
        <v>21</v>
      </c>
      <c r="F259" s="90" t="s">
        <v>262</v>
      </c>
      <c r="G259" s="43">
        <v>85000</v>
      </c>
      <c r="H259" s="43">
        <v>85000</v>
      </c>
      <c r="I259" s="43">
        <v>2439.5</v>
      </c>
      <c r="J259" s="43">
        <v>8576.99</v>
      </c>
      <c r="K259" s="43">
        <v>2584</v>
      </c>
      <c r="L259" s="43">
        <f>415.86+31.21+100</f>
        <v>547.06999999999994</v>
      </c>
      <c r="M259" s="44">
        <f t="shared" si="17"/>
        <v>14147.56</v>
      </c>
      <c r="N259" s="44">
        <f t="shared" si="18"/>
        <v>70852.44</v>
      </c>
      <c r="O259" s="88" t="s">
        <v>23</v>
      </c>
    </row>
    <row r="260" spans="1:15" s="91" customFormat="1" x14ac:dyDescent="0.25">
      <c r="A260" s="87"/>
      <c r="B260" s="88">
        <f t="shared" si="19"/>
        <v>256</v>
      </c>
      <c r="C260" s="89" t="s">
        <v>321</v>
      </c>
      <c r="D260" s="90" t="s">
        <v>252</v>
      </c>
      <c r="E260" s="89" t="s">
        <v>21</v>
      </c>
      <c r="F260" s="90" t="s">
        <v>262</v>
      </c>
      <c r="G260" s="43">
        <v>85000</v>
      </c>
      <c r="H260" s="43">
        <v>85000</v>
      </c>
      <c r="I260" s="43">
        <v>2439.5</v>
      </c>
      <c r="J260" s="43">
        <v>8148.13</v>
      </c>
      <c r="K260" s="43">
        <v>2584</v>
      </c>
      <c r="L260" s="43">
        <v>2346.67</v>
      </c>
      <c r="M260" s="44">
        <f t="shared" si="17"/>
        <v>15518.300000000001</v>
      </c>
      <c r="N260" s="44">
        <f t="shared" si="18"/>
        <v>69481.7</v>
      </c>
      <c r="O260" s="88" t="s">
        <v>19</v>
      </c>
    </row>
    <row r="261" spans="1:15" s="91" customFormat="1" x14ac:dyDescent="0.25">
      <c r="A261" s="87"/>
      <c r="B261" s="88">
        <f t="shared" si="19"/>
        <v>257</v>
      </c>
      <c r="C261" s="89" t="s">
        <v>322</v>
      </c>
      <c r="D261" s="90" t="s">
        <v>252</v>
      </c>
      <c r="E261" s="89" t="s">
        <v>25</v>
      </c>
      <c r="F261" s="90" t="s">
        <v>253</v>
      </c>
      <c r="G261" s="43">
        <v>35000</v>
      </c>
      <c r="H261" s="43">
        <v>35000</v>
      </c>
      <c r="I261" s="43">
        <v>1004.5</v>
      </c>
      <c r="J261" s="43">
        <v>0</v>
      </c>
      <c r="K261" s="43">
        <v>1064</v>
      </c>
      <c r="L261" s="43">
        <v>26010.97</v>
      </c>
      <c r="M261" s="44">
        <f t="shared" si="17"/>
        <v>28079.47</v>
      </c>
      <c r="N261" s="44">
        <f t="shared" si="18"/>
        <v>6920.5299999999988</v>
      </c>
      <c r="O261" s="88" t="s">
        <v>23</v>
      </c>
    </row>
    <row r="262" spans="1:15" s="91" customFormat="1" x14ac:dyDescent="0.25">
      <c r="A262" s="87"/>
      <c r="B262" s="88">
        <f t="shared" si="19"/>
        <v>258</v>
      </c>
      <c r="C262" s="89" t="s">
        <v>323</v>
      </c>
      <c r="D262" s="90" t="s">
        <v>252</v>
      </c>
      <c r="E262" s="89" t="s">
        <v>21</v>
      </c>
      <c r="F262" s="90" t="s">
        <v>253</v>
      </c>
      <c r="G262" s="43">
        <v>75000</v>
      </c>
      <c r="H262" s="43">
        <v>75000</v>
      </c>
      <c r="I262" s="43">
        <v>2152.5</v>
      </c>
      <c r="J262" s="43">
        <v>5966.28</v>
      </c>
      <c r="K262" s="43">
        <v>2280</v>
      </c>
      <c r="L262" s="43">
        <f>4479.29+31.21+100+1715.46</f>
        <v>6325.96</v>
      </c>
      <c r="M262" s="44">
        <f t="shared" si="17"/>
        <v>16724.739999999998</v>
      </c>
      <c r="N262" s="44">
        <f t="shared" si="18"/>
        <v>58275.26</v>
      </c>
      <c r="O262" s="88" t="s">
        <v>19</v>
      </c>
    </row>
    <row r="263" spans="1:15" s="91" customFormat="1" ht="16.5" customHeight="1" x14ac:dyDescent="0.25">
      <c r="A263" s="87"/>
      <c r="B263" s="88">
        <f>B262+1</f>
        <v>259</v>
      </c>
      <c r="C263" s="89" t="s">
        <v>325</v>
      </c>
      <c r="D263" s="90" t="s">
        <v>252</v>
      </c>
      <c r="E263" s="89" t="s">
        <v>25</v>
      </c>
      <c r="F263" s="90" t="s">
        <v>253</v>
      </c>
      <c r="G263" s="43">
        <v>40000</v>
      </c>
      <c r="H263" s="43">
        <v>40000</v>
      </c>
      <c r="I263" s="43">
        <v>1148</v>
      </c>
      <c r="J263" s="43">
        <v>185.33</v>
      </c>
      <c r="K263" s="43">
        <v>1216</v>
      </c>
      <c r="L263" s="43">
        <f>1593.5+400+31.21+100+1715.46</f>
        <v>3840.17</v>
      </c>
      <c r="M263" s="44">
        <f>+L263+K263+J263+I263</f>
        <v>6389.5</v>
      </c>
      <c r="N263" s="44">
        <f>+G263-M263</f>
        <v>33610.5</v>
      </c>
      <c r="O263" s="88" t="s">
        <v>19</v>
      </c>
    </row>
    <row r="264" spans="1:15" s="91" customFormat="1" ht="19.5" customHeight="1" x14ac:dyDescent="0.25">
      <c r="A264" s="87"/>
      <c r="B264" s="88">
        <f t="shared" si="19"/>
        <v>260</v>
      </c>
      <c r="C264" s="89" t="s">
        <v>326</v>
      </c>
      <c r="D264" s="90" t="s">
        <v>252</v>
      </c>
      <c r="E264" s="89" t="s">
        <v>21</v>
      </c>
      <c r="F264" s="90" t="s">
        <v>253</v>
      </c>
      <c r="G264" s="43">
        <v>75000</v>
      </c>
      <c r="H264" s="43">
        <v>75000</v>
      </c>
      <c r="I264" s="43">
        <v>2152.5</v>
      </c>
      <c r="J264" s="43">
        <v>6309.38</v>
      </c>
      <c r="K264" s="43">
        <v>2280</v>
      </c>
      <c r="L264" s="43">
        <f>5031.21+9792.62</f>
        <v>14823.830000000002</v>
      </c>
      <c r="M264" s="44">
        <f t="shared" si="17"/>
        <v>25565.710000000003</v>
      </c>
      <c r="N264" s="44">
        <f t="shared" si="18"/>
        <v>49434.289999999994</v>
      </c>
      <c r="O264" s="88" t="s">
        <v>19</v>
      </c>
    </row>
    <row r="265" spans="1:15" s="91" customFormat="1" ht="15" customHeight="1" x14ac:dyDescent="0.25">
      <c r="A265" s="87"/>
      <c r="B265" s="88">
        <f t="shared" si="19"/>
        <v>261</v>
      </c>
      <c r="C265" s="89" t="s">
        <v>327</v>
      </c>
      <c r="D265" s="90" t="s">
        <v>252</v>
      </c>
      <c r="E265" s="89" t="s">
        <v>21</v>
      </c>
      <c r="F265" s="90" t="s">
        <v>253</v>
      </c>
      <c r="G265" s="43">
        <v>75000</v>
      </c>
      <c r="H265" s="43">
        <v>75000</v>
      </c>
      <c r="I265" s="43">
        <v>2152.5</v>
      </c>
      <c r="J265" s="43">
        <v>6309.38</v>
      </c>
      <c r="K265" s="43">
        <v>2280</v>
      </c>
      <c r="L265" s="43">
        <v>13828.32</v>
      </c>
      <c r="M265" s="44">
        <f t="shared" si="17"/>
        <v>24570.2</v>
      </c>
      <c r="N265" s="44">
        <f t="shared" si="18"/>
        <v>50429.8</v>
      </c>
      <c r="O265" s="88" t="s">
        <v>23</v>
      </c>
    </row>
    <row r="266" spans="1:15" s="91" customFormat="1" x14ac:dyDescent="0.25">
      <c r="A266" s="87"/>
      <c r="B266" s="88">
        <f t="shared" si="19"/>
        <v>262</v>
      </c>
      <c r="C266" s="89" t="s">
        <v>328</v>
      </c>
      <c r="D266" s="90" t="s">
        <v>252</v>
      </c>
      <c r="E266" s="89" t="s">
        <v>21</v>
      </c>
      <c r="F266" s="90" t="s">
        <v>253</v>
      </c>
      <c r="G266" s="43">
        <v>75000</v>
      </c>
      <c r="H266" s="43">
        <v>75000</v>
      </c>
      <c r="I266" s="43">
        <v>2152.5</v>
      </c>
      <c r="J266" s="43">
        <v>6309.38</v>
      </c>
      <c r="K266" s="43">
        <v>2280</v>
      </c>
      <c r="L266" s="43">
        <v>28086.95</v>
      </c>
      <c r="M266" s="44">
        <f t="shared" si="17"/>
        <v>38828.83</v>
      </c>
      <c r="N266" s="44">
        <f t="shared" si="18"/>
        <v>36171.17</v>
      </c>
      <c r="O266" s="88" t="s">
        <v>23</v>
      </c>
    </row>
    <row r="267" spans="1:15" s="91" customFormat="1" x14ac:dyDescent="0.25">
      <c r="A267" s="87"/>
      <c r="B267" s="88">
        <f t="shared" si="19"/>
        <v>263</v>
      </c>
      <c r="C267" s="89" t="s">
        <v>329</v>
      </c>
      <c r="D267" s="90" t="s">
        <v>252</v>
      </c>
      <c r="E267" s="89" t="s">
        <v>21</v>
      </c>
      <c r="F267" s="90" t="s">
        <v>290</v>
      </c>
      <c r="G267" s="43">
        <v>60000</v>
      </c>
      <c r="H267" s="43">
        <v>60000</v>
      </c>
      <c r="I267" s="43">
        <v>1722</v>
      </c>
      <c r="J267" s="43">
        <v>3486.68</v>
      </c>
      <c r="K267" s="43">
        <v>1824</v>
      </c>
      <c r="L267" s="43">
        <v>8789.7800000000007</v>
      </c>
      <c r="M267" s="44">
        <f t="shared" si="17"/>
        <v>15822.460000000001</v>
      </c>
      <c r="N267" s="44">
        <f t="shared" si="18"/>
        <v>44177.54</v>
      </c>
      <c r="O267" s="88" t="s">
        <v>19</v>
      </c>
    </row>
    <row r="268" spans="1:15" s="39" customFormat="1" x14ac:dyDescent="0.25">
      <c r="A268" s="12"/>
      <c r="B268" s="81">
        <f t="shared" si="19"/>
        <v>264</v>
      </c>
      <c r="C268" s="82" t="s">
        <v>330</v>
      </c>
      <c r="D268" s="83" t="s">
        <v>252</v>
      </c>
      <c r="E268" s="82" t="s">
        <v>21</v>
      </c>
      <c r="F268" s="83" t="s">
        <v>253</v>
      </c>
      <c r="G268" s="84">
        <v>75000</v>
      </c>
      <c r="H268" s="84">
        <v>75000</v>
      </c>
      <c r="I268" s="84">
        <v>2152.5</v>
      </c>
      <c r="J268" s="84">
        <v>6309.38</v>
      </c>
      <c r="K268" s="84">
        <v>2280</v>
      </c>
      <c r="L268" s="84">
        <v>31.21</v>
      </c>
      <c r="M268" s="85">
        <f>+L268+K268+J268+I268</f>
        <v>10773.09</v>
      </c>
      <c r="N268" s="85">
        <f>+G268-M268</f>
        <v>64226.91</v>
      </c>
      <c r="O268" s="81" t="s">
        <v>19</v>
      </c>
    </row>
    <row r="269" spans="1:15" s="91" customFormat="1" x14ac:dyDescent="0.25">
      <c r="A269" s="87"/>
      <c r="B269" s="88">
        <f t="shared" si="19"/>
        <v>265</v>
      </c>
      <c r="C269" s="89" t="s">
        <v>331</v>
      </c>
      <c r="D269" s="90" t="s">
        <v>252</v>
      </c>
      <c r="E269" s="89" t="s">
        <v>21</v>
      </c>
      <c r="F269" s="90" t="s">
        <v>262</v>
      </c>
      <c r="G269" s="43">
        <v>90000</v>
      </c>
      <c r="H269" s="43">
        <v>90000</v>
      </c>
      <c r="I269" s="43">
        <v>2583</v>
      </c>
      <c r="J269" s="43">
        <v>9324.25</v>
      </c>
      <c r="K269" s="43">
        <v>2736</v>
      </c>
      <c r="L269" s="43">
        <v>1879.18</v>
      </c>
      <c r="M269" s="44">
        <f t="shared" si="17"/>
        <v>16522.43</v>
      </c>
      <c r="N269" s="44">
        <f t="shared" si="18"/>
        <v>73477.570000000007</v>
      </c>
      <c r="O269" s="88" t="s">
        <v>19</v>
      </c>
    </row>
    <row r="270" spans="1:15" s="91" customFormat="1" x14ac:dyDescent="0.25">
      <c r="A270" s="87"/>
      <c r="B270" s="88">
        <f t="shared" si="19"/>
        <v>266</v>
      </c>
      <c r="C270" s="89" t="s">
        <v>332</v>
      </c>
      <c r="D270" s="90" t="s">
        <v>252</v>
      </c>
      <c r="E270" s="89" t="s">
        <v>21</v>
      </c>
      <c r="F270" s="90" t="s">
        <v>290</v>
      </c>
      <c r="G270" s="43">
        <v>45000</v>
      </c>
      <c r="H270" s="43">
        <v>45000</v>
      </c>
      <c r="I270" s="43">
        <v>1291.5</v>
      </c>
      <c r="J270" s="43">
        <v>1148.33</v>
      </c>
      <c r="K270" s="43">
        <v>1368</v>
      </c>
      <c r="L270" s="43">
        <f>450+31.21+16509.4+2200</f>
        <v>19190.61</v>
      </c>
      <c r="M270" s="44">
        <f t="shared" si="17"/>
        <v>22998.440000000002</v>
      </c>
      <c r="N270" s="44">
        <f t="shared" si="18"/>
        <v>22001.559999999998</v>
      </c>
      <c r="O270" s="88" t="s">
        <v>19</v>
      </c>
    </row>
    <row r="271" spans="1:15" s="91" customFormat="1" ht="18.75" customHeight="1" x14ac:dyDescent="0.25">
      <c r="A271" s="87"/>
      <c r="B271" s="88">
        <f t="shared" si="19"/>
        <v>267</v>
      </c>
      <c r="C271" s="89" t="s">
        <v>333</v>
      </c>
      <c r="D271" s="90" t="s">
        <v>252</v>
      </c>
      <c r="E271" s="89" t="s">
        <v>25</v>
      </c>
      <c r="F271" s="90" t="s">
        <v>253</v>
      </c>
      <c r="G271" s="43">
        <v>75000</v>
      </c>
      <c r="H271" s="43">
        <v>75000</v>
      </c>
      <c r="I271" s="43">
        <v>2152.5</v>
      </c>
      <c r="J271" s="43">
        <v>6309.38</v>
      </c>
      <c r="K271" s="43">
        <v>2280</v>
      </c>
      <c r="L271" s="43">
        <f>1247.57+31.21+100</f>
        <v>1378.78</v>
      </c>
      <c r="M271" s="44">
        <f t="shared" si="17"/>
        <v>12120.660000000002</v>
      </c>
      <c r="N271" s="44">
        <f t="shared" si="18"/>
        <v>62879.34</v>
      </c>
      <c r="O271" s="88" t="s">
        <v>23</v>
      </c>
    </row>
    <row r="272" spans="1:15" s="91" customFormat="1" x14ac:dyDescent="0.25">
      <c r="A272" s="87"/>
      <c r="B272" s="88">
        <f t="shared" si="19"/>
        <v>268</v>
      </c>
      <c r="C272" s="89" t="s">
        <v>334</v>
      </c>
      <c r="D272" s="90" t="s">
        <v>252</v>
      </c>
      <c r="E272" s="89" t="s">
        <v>21</v>
      </c>
      <c r="F272" s="90" t="s">
        <v>253</v>
      </c>
      <c r="G272" s="43">
        <v>65000</v>
      </c>
      <c r="H272" s="43">
        <v>65000</v>
      </c>
      <c r="I272" s="43">
        <v>1865.5</v>
      </c>
      <c r="J272" s="43">
        <v>4427.58</v>
      </c>
      <c r="K272" s="43">
        <v>1976</v>
      </c>
      <c r="L272" s="43">
        <f>8456.7+31.21+500+9484.04</f>
        <v>18471.95</v>
      </c>
      <c r="M272" s="44">
        <f t="shared" si="17"/>
        <v>26741.03</v>
      </c>
      <c r="N272" s="44">
        <f t="shared" si="18"/>
        <v>38258.97</v>
      </c>
      <c r="O272" s="88" t="s">
        <v>19</v>
      </c>
    </row>
    <row r="273" spans="1:15" s="91" customFormat="1" x14ac:dyDescent="0.25">
      <c r="A273" s="87"/>
      <c r="B273" s="88">
        <f t="shared" si="19"/>
        <v>269</v>
      </c>
      <c r="C273" s="89" t="s">
        <v>335</v>
      </c>
      <c r="D273" s="90" t="s">
        <v>252</v>
      </c>
      <c r="E273" s="89" t="s">
        <v>25</v>
      </c>
      <c r="F273" s="90" t="s">
        <v>253</v>
      </c>
      <c r="G273" s="43">
        <v>75000</v>
      </c>
      <c r="H273" s="43">
        <v>75000</v>
      </c>
      <c r="I273" s="43">
        <v>2152.5</v>
      </c>
      <c r="J273" s="43">
        <v>6309.38</v>
      </c>
      <c r="K273" s="43">
        <v>2280</v>
      </c>
      <c r="L273" s="43">
        <v>9748.36</v>
      </c>
      <c r="M273" s="44">
        <f t="shared" si="17"/>
        <v>20490.240000000002</v>
      </c>
      <c r="N273" s="44">
        <f>+G273-M273</f>
        <v>54509.759999999995</v>
      </c>
      <c r="O273" s="88" t="s">
        <v>19</v>
      </c>
    </row>
    <row r="274" spans="1:15" s="91" customFormat="1" x14ac:dyDescent="0.25">
      <c r="A274" s="87"/>
      <c r="B274" s="88">
        <f t="shared" si="19"/>
        <v>270</v>
      </c>
      <c r="C274" s="89" t="s">
        <v>336</v>
      </c>
      <c r="D274" s="90" t="s">
        <v>252</v>
      </c>
      <c r="E274" s="89" t="s">
        <v>21</v>
      </c>
      <c r="F274" s="90" t="s">
        <v>253</v>
      </c>
      <c r="G274" s="43">
        <v>75000</v>
      </c>
      <c r="H274" s="43">
        <v>75000</v>
      </c>
      <c r="I274" s="43">
        <v>2152.5</v>
      </c>
      <c r="J274" s="43">
        <v>6309.38</v>
      </c>
      <c r="K274" s="43">
        <v>2280</v>
      </c>
      <c r="L274" s="43">
        <f>4153.8+31.21+100+1000</f>
        <v>5285.01</v>
      </c>
      <c r="M274" s="44">
        <f t="shared" si="17"/>
        <v>16026.890000000001</v>
      </c>
      <c r="N274" s="44">
        <f t="shared" si="18"/>
        <v>58973.11</v>
      </c>
      <c r="O274" s="88" t="s">
        <v>19</v>
      </c>
    </row>
    <row r="275" spans="1:15" s="91" customFormat="1" x14ac:dyDescent="0.25">
      <c r="A275" s="87"/>
      <c r="B275" s="88">
        <f t="shared" si="19"/>
        <v>271</v>
      </c>
      <c r="C275" s="89" t="s">
        <v>337</v>
      </c>
      <c r="D275" s="90" t="s">
        <v>252</v>
      </c>
      <c r="E275" s="89" t="s">
        <v>21</v>
      </c>
      <c r="F275" s="90" t="s">
        <v>290</v>
      </c>
      <c r="G275" s="43">
        <v>60000</v>
      </c>
      <c r="H275" s="43">
        <v>60000</v>
      </c>
      <c r="I275" s="43">
        <v>1722</v>
      </c>
      <c r="J275" s="43">
        <v>3486.68</v>
      </c>
      <c r="K275" s="43">
        <v>1824</v>
      </c>
      <c r="L275" s="43">
        <v>131.21</v>
      </c>
      <c r="M275" s="44">
        <f t="shared" si="17"/>
        <v>7163.89</v>
      </c>
      <c r="N275" s="44">
        <f t="shared" si="18"/>
        <v>52836.11</v>
      </c>
      <c r="O275" s="88" t="s">
        <v>19</v>
      </c>
    </row>
    <row r="276" spans="1:15" s="91" customFormat="1" x14ac:dyDescent="0.25">
      <c r="A276" s="87"/>
      <c r="B276" s="88">
        <f t="shared" si="19"/>
        <v>272</v>
      </c>
      <c r="C276" s="89" t="s">
        <v>338</v>
      </c>
      <c r="D276" s="90" t="s">
        <v>252</v>
      </c>
      <c r="E276" s="89" t="s">
        <v>21</v>
      </c>
      <c r="F276" s="90" t="s">
        <v>256</v>
      </c>
      <c r="G276" s="43">
        <v>50000</v>
      </c>
      <c r="H276" s="43">
        <v>50000</v>
      </c>
      <c r="I276" s="43">
        <v>1435</v>
      </c>
      <c r="J276" s="43">
        <v>1596.68</v>
      </c>
      <c r="K276" s="43">
        <v>1520</v>
      </c>
      <c r="L276" s="43">
        <v>2346.67</v>
      </c>
      <c r="M276" s="44">
        <f t="shared" si="17"/>
        <v>6898.35</v>
      </c>
      <c r="N276" s="44">
        <f t="shared" si="18"/>
        <v>43101.65</v>
      </c>
      <c r="O276" s="88" t="s">
        <v>19</v>
      </c>
    </row>
    <row r="277" spans="1:15" s="91" customFormat="1" x14ac:dyDescent="0.25">
      <c r="A277" s="87"/>
      <c r="B277" s="88">
        <f t="shared" si="19"/>
        <v>273</v>
      </c>
      <c r="C277" s="89" t="s">
        <v>339</v>
      </c>
      <c r="D277" s="90" t="s">
        <v>252</v>
      </c>
      <c r="E277" s="89" t="s">
        <v>21</v>
      </c>
      <c r="F277" s="90" t="s">
        <v>253</v>
      </c>
      <c r="G277" s="43">
        <v>75000</v>
      </c>
      <c r="H277" s="43">
        <v>75000</v>
      </c>
      <c r="I277" s="43">
        <v>2152.5</v>
      </c>
      <c r="J277" s="43">
        <v>6309.38</v>
      </c>
      <c r="K277" s="43">
        <v>2280</v>
      </c>
      <c r="L277" s="43">
        <f>4895.15+750+31.21+100+2000+8789.21</f>
        <v>16565.57</v>
      </c>
      <c r="M277" s="44">
        <f>+L277+K277+J277+I277</f>
        <v>27307.45</v>
      </c>
      <c r="N277" s="44">
        <f t="shared" si="18"/>
        <v>47692.55</v>
      </c>
      <c r="O277" s="88" t="s">
        <v>19</v>
      </c>
    </row>
    <row r="278" spans="1:15" s="91" customFormat="1" x14ac:dyDescent="0.25">
      <c r="A278" s="87"/>
      <c r="B278" s="88">
        <f t="shared" si="19"/>
        <v>274</v>
      </c>
      <c r="C278" s="89" t="s">
        <v>340</v>
      </c>
      <c r="D278" s="90" t="s">
        <v>252</v>
      </c>
      <c r="E278" s="89" t="s">
        <v>21</v>
      </c>
      <c r="F278" s="90" t="s">
        <v>262</v>
      </c>
      <c r="G278" s="43">
        <v>85000</v>
      </c>
      <c r="H278" s="43">
        <v>85000</v>
      </c>
      <c r="I278" s="43">
        <v>2439.5</v>
      </c>
      <c r="J278" s="43">
        <v>8576.99</v>
      </c>
      <c r="K278" s="43">
        <v>2584</v>
      </c>
      <c r="L278" s="43">
        <v>14728.87</v>
      </c>
      <c r="M278" s="44">
        <f t="shared" si="17"/>
        <v>28329.360000000001</v>
      </c>
      <c r="N278" s="44">
        <f t="shared" si="18"/>
        <v>56670.64</v>
      </c>
      <c r="O278" s="88" t="s">
        <v>19</v>
      </c>
    </row>
    <row r="279" spans="1:15" s="91" customFormat="1" x14ac:dyDescent="0.25">
      <c r="A279" s="87"/>
      <c r="B279" s="88">
        <f t="shared" si="19"/>
        <v>275</v>
      </c>
      <c r="C279" s="89" t="s">
        <v>341</v>
      </c>
      <c r="D279" s="90" t="s">
        <v>252</v>
      </c>
      <c r="E279" s="89" t="s">
        <v>21</v>
      </c>
      <c r="F279" s="90" t="s">
        <v>262</v>
      </c>
      <c r="G279" s="43">
        <v>85000</v>
      </c>
      <c r="H279" s="43">
        <v>85000</v>
      </c>
      <c r="I279" s="43">
        <v>2439.5</v>
      </c>
      <c r="J279" s="43">
        <v>8148.13</v>
      </c>
      <c r="K279" s="43">
        <v>2584</v>
      </c>
      <c r="L279" s="43">
        <v>32884.03</v>
      </c>
      <c r="M279" s="44">
        <f t="shared" si="17"/>
        <v>46055.66</v>
      </c>
      <c r="N279" s="44">
        <f t="shared" si="18"/>
        <v>38944.339999999997</v>
      </c>
      <c r="O279" s="88" t="s">
        <v>19</v>
      </c>
    </row>
    <row r="280" spans="1:15" s="91" customFormat="1" x14ac:dyDescent="0.25">
      <c r="A280" s="87"/>
      <c r="B280" s="88">
        <f t="shared" si="19"/>
        <v>276</v>
      </c>
      <c r="C280" s="89" t="s">
        <v>342</v>
      </c>
      <c r="D280" s="90" t="s">
        <v>252</v>
      </c>
      <c r="E280" s="89" t="s">
        <v>21</v>
      </c>
      <c r="F280" s="90" t="s">
        <v>262</v>
      </c>
      <c r="G280" s="43">
        <v>85000</v>
      </c>
      <c r="H280" s="43">
        <v>85000</v>
      </c>
      <c r="I280" s="43">
        <v>2439.5</v>
      </c>
      <c r="J280" s="43">
        <v>8576.99</v>
      </c>
      <c r="K280" s="43">
        <v>2584</v>
      </c>
      <c r="L280" s="43">
        <f>180+1247.57+850+31.21+100</f>
        <v>2408.7799999999997</v>
      </c>
      <c r="M280" s="44">
        <f t="shared" si="17"/>
        <v>16009.27</v>
      </c>
      <c r="N280" s="44">
        <f t="shared" si="18"/>
        <v>68990.73</v>
      </c>
      <c r="O280" s="88" t="s">
        <v>23</v>
      </c>
    </row>
    <row r="281" spans="1:15" s="91" customFormat="1" x14ac:dyDescent="0.25">
      <c r="A281" s="87"/>
      <c r="B281" s="88">
        <f t="shared" si="19"/>
        <v>277</v>
      </c>
      <c r="C281" s="89" t="s">
        <v>343</v>
      </c>
      <c r="D281" s="90" t="s">
        <v>252</v>
      </c>
      <c r="E281" s="89" t="s">
        <v>21</v>
      </c>
      <c r="F281" s="90" t="s">
        <v>253</v>
      </c>
      <c r="G281" s="43">
        <v>75000</v>
      </c>
      <c r="H281" s="43">
        <v>75000</v>
      </c>
      <c r="I281" s="43">
        <v>2152.5</v>
      </c>
      <c r="J281" s="43">
        <v>6309.38</v>
      </c>
      <c r="K281" s="43">
        <v>2280</v>
      </c>
      <c r="L281" s="43">
        <f>1593.5+31.21+100</f>
        <v>1724.71</v>
      </c>
      <c r="M281" s="44">
        <f t="shared" si="17"/>
        <v>12466.59</v>
      </c>
      <c r="N281" s="44">
        <f t="shared" si="18"/>
        <v>62533.41</v>
      </c>
      <c r="O281" s="88" t="s">
        <v>19</v>
      </c>
    </row>
    <row r="282" spans="1:15" s="91" customFormat="1" x14ac:dyDescent="0.25">
      <c r="A282" s="87"/>
      <c r="B282" s="88">
        <f t="shared" si="19"/>
        <v>278</v>
      </c>
      <c r="C282" s="89" t="s">
        <v>344</v>
      </c>
      <c r="D282" s="90" t="s">
        <v>252</v>
      </c>
      <c r="E282" s="89" t="s">
        <v>21</v>
      </c>
      <c r="F282" s="90" t="s">
        <v>258</v>
      </c>
      <c r="G282" s="43">
        <v>100000</v>
      </c>
      <c r="H282" s="43">
        <v>100000</v>
      </c>
      <c r="I282" s="43">
        <v>2870</v>
      </c>
      <c r="J282" s="43">
        <v>11676.5</v>
      </c>
      <c r="K282" s="43">
        <v>3040</v>
      </c>
      <c r="L282" s="43">
        <f>140+3561.55+31.21+100+2000+1166.54+2927.23+1715.46</f>
        <v>11641.990000000002</v>
      </c>
      <c r="M282" s="44">
        <f t="shared" si="17"/>
        <v>29228.49</v>
      </c>
      <c r="N282" s="44">
        <f>+G282-M282</f>
        <v>70771.509999999995</v>
      </c>
      <c r="O282" s="88" t="s">
        <v>19</v>
      </c>
    </row>
    <row r="283" spans="1:15" s="91" customFormat="1" x14ac:dyDescent="0.25">
      <c r="A283" s="87"/>
      <c r="B283" s="88">
        <f t="shared" si="19"/>
        <v>279</v>
      </c>
      <c r="C283" s="89" t="s">
        <v>345</v>
      </c>
      <c r="D283" s="90" t="s">
        <v>252</v>
      </c>
      <c r="E283" s="89" t="s">
        <v>21</v>
      </c>
      <c r="F283" s="90" t="s">
        <v>253</v>
      </c>
      <c r="G283" s="43">
        <v>75000</v>
      </c>
      <c r="H283" s="43">
        <v>75000</v>
      </c>
      <c r="I283" s="43">
        <v>2152.5</v>
      </c>
      <c r="J283" s="43">
        <v>6309.38</v>
      </c>
      <c r="K283" s="43">
        <v>2280</v>
      </c>
      <c r="L283" s="43">
        <f>2885.79+750+31.21+100+500</f>
        <v>4267</v>
      </c>
      <c r="M283" s="44">
        <f t="shared" si="17"/>
        <v>15008.880000000001</v>
      </c>
      <c r="N283" s="44">
        <f t="shared" si="18"/>
        <v>59991.119999999995</v>
      </c>
      <c r="O283" s="88" t="s">
        <v>19</v>
      </c>
    </row>
    <row r="284" spans="1:15" s="91" customFormat="1" x14ac:dyDescent="0.25">
      <c r="A284" s="87"/>
      <c r="B284" s="88">
        <f t="shared" si="19"/>
        <v>280</v>
      </c>
      <c r="C284" s="89" t="s">
        <v>346</v>
      </c>
      <c r="D284" s="90" t="s">
        <v>252</v>
      </c>
      <c r="E284" s="89" t="s">
        <v>21</v>
      </c>
      <c r="F284" s="90" t="s">
        <v>258</v>
      </c>
      <c r="G284" s="43">
        <v>95000</v>
      </c>
      <c r="H284" s="43">
        <v>95000</v>
      </c>
      <c r="I284" s="43">
        <v>2726.5</v>
      </c>
      <c r="J284" s="43">
        <v>10500.38</v>
      </c>
      <c r="K284" s="43">
        <v>2888</v>
      </c>
      <c r="L284" s="43">
        <v>19668.93</v>
      </c>
      <c r="M284" s="44">
        <f t="shared" si="17"/>
        <v>35783.81</v>
      </c>
      <c r="N284" s="44">
        <f t="shared" si="18"/>
        <v>59216.19</v>
      </c>
      <c r="O284" s="88" t="s">
        <v>23</v>
      </c>
    </row>
    <row r="285" spans="1:15" s="91" customFormat="1" x14ac:dyDescent="0.25">
      <c r="A285" s="87"/>
      <c r="B285" s="88">
        <f t="shared" si="19"/>
        <v>281</v>
      </c>
      <c r="C285" s="89" t="s">
        <v>347</v>
      </c>
      <c r="D285" s="90" t="s">
        <v>252</v>
      </c>
      <c r="E285" s="89" t="s">
        <v>21</v>
      </c>
      <c r="F285" s="90" t="s">
        <v>253</v>
      </c>
      <c r="G285" s="43">
        <v>75000</v>
      </c>
      <c r="H285" s="43">
        <v>75000</v>
      </c>
      <c r="I285" s="43">
        <v>2152.5</v>
      </c>
      <c r="J285" s="43">
        <v>6309.38</v>
      </c>
      <c r="K285" s="43">
        <v>2280</v>
      </c>
      <c r="L285" s="43">
        <v>19061.2</v>
      </c>
      <c r="M285" s="44">
        <f t="shared" si="17"/>
        <v>29803.08</v>
      </c>
      <c r="N285" s="44">
        <f t="shared" si="18"/>
        <v>45196.92</v>
      </c>
      <c r="O285" s="88" t="s">
        <v>19</v>
      </c>
    </row>
    <row r="286" spans="1:15" s="91" customFormat="1" x14ac:dyDescent="0.25">
      <c r="A286" s="87"/>
      <c r="B286" s="88">
        <f t="shared" si="19"/>
        <v>282</v>
      </c>
      <c r="C286" s="89" t="s">
        <v>348</v>
      </c>
      <c r="D286" s="90" t="s">
        <v>252</v>
      </c>
      <c r="E286" s="89" t="s">
        <v>25</v>
      </c>
      <c r="F286" s="90" t="s">
        <v>253</v>
      </c>
      <c r="G286" s="43">
        <v>75000</v>
      </c>
      <c r="H286" s="43">
        <v>75000</v>
      </c>
      <c r="I286" s="43">
        <v>2152.5</v>
      </c>
      <c r="J286" s="43">
        <v>5280.1</v>
      </c>
      <c r="K286" s="43">
        <v>2280</v>
      </c>
      <c r="L286" s="43">
        <v>6277.59</v>
      </c>
      <c r="M286" s="44">
        <f t="shared" si="17"/>
        <v>15990.19</v>
      </c>
      <c r="N286" s="44">
        <f t="shared" si="18"/>
        <v>59009.81</v>
      </c>
      <c r="O286" s="88" t="s">
        <v>19</v>
      </c>
    </row>
    <row r="287" spans="1:15" s="91" customFormat="1" x14ac:dyDescent="0.25">
      <c r="A287" s="87"/>
      <c r="B287" s="88">
        <f t="shared" si="19"/>
        <v>283</v>
      </c>
      <c r="C287" s="89" t="s">
        <v>349</v>
      </c>
      <c r="D287" s="90" t="s">
        <v>252</v>
      </c>
      <c r="E287" s="89" t="s">
        <v>21</v>
      </c>
      <c r="F287" s="90" t="s">
        <v>285</v>
      </c>
      <c r="G287" s="43">
        <v>40000</v>
      </c>
      <c r="H287" s="43">
        <v>40000</v>
      </c>
      <c r="I287" s="43">
        <v>1148</v>
      </c>
      <c r="J287" s="43">
        <v>185.33</v>
      </c>
      <c r="K287" s="43">
        <v>1216</v>
      </c>
      <c r="L287" s="43">
        <v>1846.67</v>
      </c>
      <c r="M287" s="44">
        <f t="shared" si="17"/>
        <v>4396</v>
      </c>
      <c r="N287" s="44">
        <f t="shared" si="18"/>
        <v>35604</v>
      </c>
      <c r="O287" s="88" t="s">
        <v>19</v>
      </c>
    </row>
    <row r="288" spans="1:15" s="91" customFormat="1" x14ac:dyDescent="0.25">
      <c r="A288" s="87"/>
      <c r="B288" s="88">
        <f>B287+1</f>
        <v>284</v>
      </c>
      <c r="C288" s="89" t="s">
        <v>351</v>
      </c>
      <c r="D288" s="90" t="s">
        <v>252</v>
      </c>
      <c r="E288" s="89" t="s">
        <v>21</v>
      </c>
      <c r="F288" s="90" t="s">
        <v>253</v>
      </c>
      <c r="G288" s="43">
        <v>75000</v>
      </c>
      <c r="H288" s="43">
        <v>75000</v>
      </c>
      <c r="I288" s="43">
        <v>2152.5</v>
      </c>
      <c r="J288" s="43">
        <v>6309.38</v>
      </c>
      <c r="K288" s="43">
        <v>2280</v>
      </c>
      <c r="L288" s="43">
        <f>2885.79+31.21+100+1000+12186.23</f>
        <v>16203.23</v>
      </c>
      <c r="M288" s="44">
        <f t="shared" si="17"/>
        <v>26945.11</v>
      </c>
      <c r="N288" s="44">
        <f t="shared" si="18"/>
        <v>48054.89</v>
      </c>
      <c r="O288" s="88" t="s">
        <v>23</v>
      </c>
    </row>
    <row r="289" spans="1:15" s="91" customFormat="1" x14ac:dyDescent="0.25">
      <c r="A289" s="87"/>
      <c r="B289" s="88">
        <f t="shared" si="19"/>
        <v>285</v>
      </c>
      <c r="C289" s="89" t="s">
        <v>352</v>
      </c>
      <c r="D289" s="90" t="s">
        <v>252</v>
      </c>
      <c r="E289" s="89" t="s">
        <v>25</v>
      </c>
      <c r="F289" s="90" t="s">
        <v>258</v>
      </c>
      <c r="G289" s="43">
        <v>95000</v>
      </c>
      <c r="H289" s="43">
        <v>95000</v>
      </c>
      <c r="I289" s="43">
        <v>2726.5</v>
      </c>
      <c r="J289" s="43">
        <v>10929.24</v>
      </c>
      <c r="K289" s="43">
        <v>2888</v>
      </c>
      <c r="L289" s="43">
        <f>4663.05+31.21+100+1000+9727.22</f>
        <v>15521.48</v>
      </c>
      <c r="M289" s="44">
        <f t="shared" si="17"/>
        <v>32065.219999999998</v>
      </c>
      <c r="N289" s="44">
        <f t="shared" si="18"/>
        <v>62934.78</v>
      </c>
      <c r="O289" s="88" t="s">
        <v>19</v>
      </c>
    </row>
    <row r="290" spans="1:15" s="91" customFormat="1" x14ac:dyDescent="0.25">
      <c r="A290" s="87"/>
      <c r="B290" s="88">
        <f t="shared" si="19"/>
        <v>286</v>
      </c>
      <c r="C290" s="89" t="s">
        <v>353</v>
      </c>
      <c r="D290" s="90" t="s">
        <v>252</v>
      </c>
      <c r="E290" s="89" t="s">
        <v>21</v>
      </c>
      <c r="F290" s="90" t="s">
        <v>262</v>
      </c>
      <c r="G290" s="43">
        <v>85000</v>
      </c>
      <c r="H290" s="43">
        <v>85000</v>
      </c>
      <c r="I290" s="43">
        <v>2439.5</v>
      </c>
      <c r="J290" s="43">
        <v>8148.13</v>
      </c>
      <c r="K290" s="43">
        <v>2584</v>
      </c>
      <c r="L290" s="43">
        <v>21274.91</v>
      </c>
      <c r="M290" s="44">
        <f t="shared" si="17"/>
        <v>34446.54</v>
      </c>
      <c r="N290" s="44">
        <f>+G290-M290</f>
        <v>50553.46</v>
      </c>
      <c r="O290" s="88" t="s">
        <v>19</v>
      </c>
    </row>
    <row r="291" spans="1:15" s="91" customFormat="1" x14ac:dyDescent="0.25">
      <c r="A291" s="87"/>
      <c r="B291" s="88">
        <f t="shared" si="19"/>
        <v>287</v>
      </c>
      <c r="C291" s="89" t="s">
        <v>354</v>
      </c>
      <c r="D291" s="90" t="s">
        <v>252</v>
      </c>
      <c r="E291" s="89" t="s">
        <v>21</v>
      </c>
      <c r="F291" s="90" t="s">
        <v>258</v>
      </c>
      <c r="G291" s="43">
        <v>95000</v>
      </c>
      <c r="H291" s="43">
        <v>95000</v>
      </c>
      <c r="I291" s="43">
        <v>2726.5</v>
      </c>
      <c r="J291" s="43">
        <v>10929.24</v>
      </c>
      <c r="K291" s="43">
        <v>2888</v>
      </c>
      <c r="L291" s="43">
        <v>13252</v>
      </c>
      <c r="M291" s="44">
        <f t="shared" si="17"/>
        <v>29795.739999999998</v>
      </c>
      <c r="N291" s="44">
        <f t="shared" si="18"/>
        <v>65204.26</v>
      </c>
      <c r="O291" s="88" t="s">
        <v>23</v>
      </c>
    </row>
    <row r="292" spans="1:15" s="91" customFormat="1" x14ac:dyDescent="0.25">
      <c r="A292" s="87"/>
      <c r="B292" s="88">
        <f>B291+1</f>
        <v>288</v>
      </c>
      <c r="C292" s="89" t="s">
        <v>623</v>
      </c>
      <c r="D292" s="90" t="s">
        <v>356</v>
      </c>
      <c r="E292" s="89" t="s">
        <v>25</v>
      </c>
      <c r="F292" s="90" t="s">
        <v>357</v>
      </c>
      <c r="G292" s="43">
        <v>15000</v>
      </c>
      <c r="H292" s="43">
        <v>15000</v>
      </c>
      <c r="I292" s="43">
        <v>430.5</v>
      </c>
      <c r="J292" s="43">
        <v>0</v>
      </c>
      <c r="K292" s="43">
        <v>456</v>
      </c>
      <c r="L292" s="43">
        <v>0</v>
      </c>
      <c r="M292" s="44">
        <f t="shared" si="17"/>
        <v>886.5</v>
      </c>
      <c r="N292" s="44">
        <f t="shared" si="18"/>
        <v>14113.5</v>
      </c>
      <c r="O292" s="88" t="s">
        <v>19</v>
      </c>
    </row>
    <row r="293" spans="1:15" s="91" customFormat="1" x14ac:dyDescent="0.25">
      <c r="A293" s="87"/>
      <c r="B293" s="88">
        <f>B292+1</f>
        <v>289</v>
      </c>
      <c r="C293" s="89" t="s">
        <v>624</v>
      </c>
      <c r="D293" s="90" t="s">
        <v>356</v>
      </c>
      <c r="E293" s="89" t="s">
        <v>25</v>
      </c>
      <c r="F293" s="90" t="s">
        <v>357</v>
      </c>
      <c r="G293" s="43">
        <v>15000</v>
      </c>
      <c r="H293" s="43">
        <v>15000</v>
      </c>
      <c r="I293" s="43">
        <v>430.5</v>
      </c>
      <c r="J293" s="43">
        <v>0</v>
      </c>
      <c r="K293" s="43">
        <v>456</v>
      </c>
      <c r="L293" s="43">
        <v>0</v>
      </c>
      <c r="M293" s="44">
        <f t="shared" si="17"/>
        <v>886.5</v>
      </c>
      <c r="N293" s="44">
        <f t="shared" si="18"/>
        <v>14113.5</v>
      </c>
      <c r="O293" s="88" t="s">
        <v>19</v>
      </c>
    </row>
    <row r="294" spans="1:15" s="91" customFormat="1" x14ac:dyDescent="0.25">
      <c r="A294" s="87"/>
      <c r="B294" s="88">
        <f>B293+1</f>
        <v>290</v>
      </c>
      <c r="C294" s="89" t="s">
        <v>355</v>
      </c>
      <c r="D294" s="90" t="s">
        <v>356</v>
      </c>
      <c r="E294" s="89" t="s">
        <v>25</v>
      </c>
      <c r="F294" s="90" t="s">
        <v>357</v>
      </c>
      <c r="G294" s="43">
        <v>15000</v>
      </c>
      <c r="H294" s="43">
        <v>15000</v>
      </c>
      <c r="I294" s="43">
        <v>430.5</v>
      </c>
      <c r="J294" s="43">
        <v>0</v>
      </c>
      <c r="K294" s="43">
        <v>456</v>
      </c>
      <c r="L294" s="43">
        <v>3169</v>
      </c>
      <c r="M294" s="44">
        <f t="shared" si="17"/>
        <v>4055.5</v>
      </c>
      <c r="N294" s="44">
        <f t="shared" si="18"/>
        <v>10944.5</v>
      </c>
      <c r="O294" s="88" t="s">
        <v>23</v>
      </c>
    </row>
    <row r="295" spans="1:15" s="91" customFormat="1" x14ac:dyDescent="0.25">
      <c r="A295" s="87"/>
      <c r="B295" s="88">
        <f t="shared" si="19"/>
        <v>291</v>
      </c>
      <c r="C295" s="89" t="s">
        <v>358</v>
      </c>
      <c r="D295" s="90" t="s">
        <v>356</v>
      </c>
      <c r="E295" s="89" t="s">
        <v>25</v>
      </c>
      <c r="F295" s="90" t="s">
        <v>357</v>
      </c>
      <c r="G295" s="43">
        <v>15000</v>
      </c>
      <c r="H295" s="43">
        <v>15000</v>
      </c>
      <c r="I295" s="43">
        <v>430.5</v>
      </c>
      <c r="J295" s="43">
        <v>0</v>
      </c>
      <c r="K295" s="43">
        <v>456</v>
      </c>
      <c r="L295" s="43">
        <v>31.21</v>
      </c>
      <c r="M295" s="44">
        <f t="shared" si="17"/>
        <v>917.71</v>
      </c>
      <c r="N295" s="44">
        <f t="shared" si="18"/>
        <v>14082.29</v>
      </c>
      <c r="O295" s="88" t="s">
        <v>23</v>
      </c>
    </row>
    <row r="296" spans="1:15" s="91" customFormat="1" x14ac:dyDescent="0.25">
      <c r="A296" s="87"/>
      <c r="B296" s="88">
        <f t="shared" si="19"/>
        <v>292</v>
      </c>
      <c r="C296" s="89" t="s">
        <v>359</v>
      </c>
      <c r="D296" s="90" t="s">
        <v>356</v>
      </c>
      <c r="E296" s="89" t="s">
        <v>25</v>
      </c>
      <c r="F296" s="90" t="s">
        <v>360</v>
      </c>
      <c r="G296" s="43">
        <v>15000</v>
      </c>
      <c r="H296" s="43">
        <v>15000</v>
      </c>
      <c r="I296" s="43">
        <v>430.5</v>
      </c>
      <c r="J296" s="43">
        <v>0</v>
      </c>
      <c r="K296" s="43">
        <v>456</v>
      </c>
      <c r="L296" s="43">
        <f>415.86+31.21</f>
        <v>447.07</v>
      </c>
      <c r="M296" s="44">
        <f t="shared" si="17"/>
        <v>1333.57</v>
      </c>
      <c r="N296" s="44">
        <f t="shared" si="18"/>
        <v>13666.43</v>
      </c>
      <c r="O296" s="88" t="s">
        <v>19</v>
      </c>
    </row>
    <row r="297" spans="1:15" s="91" customFormat="1" x14ac:dyDescent="0.25">
      <c r="A297" s="87"/>
      <c r="B297" s="88">
        <f t="shared" si="19"/>
        <v>293</v>
      </c>
      <c r="C297" s="89" t="s">
        <v>361</v>
      </c>
      <c r="D297" s="90" t="s">
        <v>356</v>
      </c>
      <c r="E297" s="89" t="s">
        <v>25</v>
      </c>
      <c r="F297" s="90" t="s">
        <v>362</v>
      </c>
      <c r="G297" s="43">
        <v>20000</v>
      </c>
      <c r="H297" s="43">
        <v>20000</v>
      </c>
      <c r="I297" s="43">
        <v>574</v>
      </c>
      <c r="J297" s="43">
        <v>0</v>
      </c>
      <c r="K297" s="43">
        <v>608</v>
      </c>
      <c r="L297" s="43">
        <f>31.21+2000+3691.49</f>
        <v>5722.7</v>
      </c>
      <c r="M297" s="44">
        <f t="shared" si="17"/>
        <v>6904.7</v>
      </c>
      <c r="N297" s="44">
        <f t="shared" si="18"/>
        <v>13095.3</v>
      </c>
      <c r="O297" s="88" t="s">
        <v>19</v>
      </c>
    </row>
    <row r="298" spans="1:15" s="91" customFormat="1" x14ac:dyDescent="0.25">
      <c r="A298" s="87"/>
      <c r="B298" s="88">
        <f t="shared" si="19"/>
        <v>294</v>
      </c>
      <c r="C298" s="89" t="s">
        <v>363</v>
      </c>
      <c r="D298" s="90" t="s">
        <v>356</v>
      </c>
      <c r="E298" s="89" t="s">
        <v>25</v>
      </c>
      <c r="F298" s="90" t="s">
        <v>360</v>
      </c>
      <c r="G298" s="43">
        <v>15000</v>
      </c>
      <c r="H298" s="43">
        <v>15000</v>
      </c>
      <c r="I298" s="43">
        <v>430.5</v>
      </c>
      <c r="J298" s="43">
        <v>0</v>
      </c>
      <c r="K298" s="43">
        <v>456</v>
      </c>
      <c r="L298" s="43">
        <v>31.21</v>
      </c>
      <c r="M298" s="44">
        <f t="shared" si="17"/>
        <v>917.71</v>
      </c>
      <c r="N298" s="44">
        <f t="shared" si="18"/>
        <v>14082.29</v>
      </c>
      <c r="O298" s="88" t="s">
        <v>19</v>
      </c>
    </row>
    <row r="299" spans="1:15" s="91" customFormat="1" x14ac:dyDescent="0.25">
      <c r="A299" s="87"/>
      <c r="B299" s="88">
        <f t="shared" si="19"/>
        <v>295</v>
      </c>
      <c r="C299" s="89" t="s">
        <v>364</v>
      </c>
      <c r="D299" s="90" t="s">
        <v>356</v>
      </c>
      <c r="E299" s="89" t="s">
        <v>25</v>
      </c>
      <c r="F299" s="90" t="s">
        <v>360</v>
      </c>
      <c r="G299" s="43">
        <v>10000</v>
      </c>
      <c r="H299" s="43">
        <v>10000</v>
      </c>
      <c r="I299" s="43">
        <v>287</v>
      </c>
      <c r="J299" s="43">
        <v>0</v>
      </c>
      <c r="K299" s="43">
        <v>304</v>
      </c>
      <c r="L299" s="43">
        <f>415.86+31.21</f>
        <v>447.07</v>
      </c>
      <c r="M299" s="44">
        <f t="shared" si="17"/>
        <v>1038.07</v>
      </c>
      <c r="N299" s="44">
        <f t="shared" si="18"/>
        <v>8961.93</v>
      </c>
      <c r="O299" s="88" t="s">
        <v>19</v>
      </c>
    </row>
    <row r="300" spans="1:15" s="91" customFormat="1" x14ac:dyDescent="0.25">
      <c r="A300" s="87"/>
      <c r="B300" s="88">
        <f t="shared" si="19"/>
        <v>296</v>
      </c>
      <c r="C300" s="89" t="s">
        <v>365</v>
      </c>
      <c r="D300" s="90" t="s">
        <v>356</v>
      </c>
      <c r="E300" s="89" t="s">
        <v>25</v>
      </c>
      <c r="F300" s="90" t="s">
        <v>357</v>
      </c>
      <c r="G300" s="43">
        <v>10000</v>
      </c>
      <c r="H300" s="43">
        <v>10000</v>
      </c>
      <c r="I300" s="43">
        <v>287</v>
      </c>
      <c r="J300" s="43">
        <v>0</v>
      </c>
      <c r="K300" s="43">
        <v>304</v>
      </c>
      <c r="L300" s="43">
        <v>3106.49</v>
      </c>
      <c r="M300" s="44">
        <f t="shared" si="17"/>
        <v>3697.49</v>
      </c>
      <c r="N300" s="44">
        <f t="shared" si="18"/>
        <v>6302.51</v>
      </c>
      <c r="O300" s="88" t="s">
        <v>19</v>
      </c>
    </row>
    <row r="301" spans="1:15" s="91" customFormat="1" x14ac:dyDescent="0.25">
      <c r="A301" s="87"/>
      <c r="B301" s="88">
        <f t="shared" si="19"/>
        <v>297</v>
      </c>
      <c r="C301" s="89" t="s">
        <v>366</v>
      </c>
      <c r="D301" s="90" t="s">
        <v>356</v>
      </c>
      <c r="E301" s="89" t="s">
        <v>25</v>
      </c>
      <c r="F301" s="90" t="s">
        <v>357</v>
      </c>
      <c r="G301" s="43">
        <v>10000</v>
      </c>
      <c r="H301" s="43">
        <v>10000</v>
      </c>
      <c r="I301" s="43">
        <v>287</v>
      </c>
      <c r="J301" s="43">
        <v>0</v>
      </c>
      <c r="K301" s="43">
        <v>304</v>
      </c>
      <c r="L301" s="43">
        <v>3593.1</v>
      </c>
      <c r="M301" s="44">
        <f t="shared" si="17"/>
        <v>4184.1000000000004</v>
      </c>
      <c r="N301" s="44">
        <f t="shared" si="18"/>
        <v>5815.9</v>
      </c>
      <c r="O301" s="88" t="s">
        <v>19</v>
      </c>
    </row>
    <row r="302" spans="1:15" s="91" customFormat="1" x14ac:dyDescent="0.25">
      <c r="A302" s="87"/>
      <c r="B302" s="88">
        <f t="shared" si="19"/>
        <v>298</v>
      </c>
      <c r="C302" s="89" t="s">
        <v>367</v>
      </c>
      <c r="D302" s="90" t="s">
        <v>356</v>
      </c>
      <c r="E302" s="89" t="s">
        <v>25</v>
      </c>
      <c r="F302" s="90" t="s">
        <v>357</v>
      </c>
      <c r="G302" s="43">
        <v>10000</v>
      </c>
      <c r="H302" s="43">
        <v>10000</v>
      </c>
      <c r="I302" s="43">
        <v>287</v>
      </c>
      <c r="J302" s="43">
        <v>0</v>
      </c>
      <c r="K302" s="43">
        <v>304</v>
      </c>
      <c r="L302" s="43">
        <v>29.21</v>
      </c>
      <c r="M302" s="44">
        <f t="shared" si="17"/>
        <v>620.21</v>
      </c>
      <c r="N302" s="44">
        <f t="shared" si="18"/>
        <v>9379.7900000000009</v>
      </c>
      <c r="O302" s="88" t="s">
        <v>19</v>
      </c>
    </row>
    <row r="303" spans="1:15" s="91" customFormat="1" x14ac:dyDescent="0.25">
      <c r="A303" s="87"/>
      <c r="B303" s="88">
        <f t="shared" si="19"/>
        <v>299</v>
      </c>
      <c r="C303" s="89" t="s">
        <v>368</v>
      </c>
      <c r="D303" s="90" t="s">
        <v>356</v>
      </c>
      <c r="E303" s="89" t="s">
        <v>25</v>
      </c>
      <c r="F303" s="90" t="s">
        <v>362</v>
      </c>
      <c r="G303" s="43">
        <v>20000</v>
      </c>
      <c r="H303" s="43">
        <v>20000</v>
      </c>
      <c r="I303" s="43">
        <v>574</v>
      </c>
      <c r="J303" s="43">
        <v>0</v>
      </c>
      <c r="K303" s="43">
        <v>608</v>
      </c>
      <c r="L303" s="43">
        <v>31.21</v>
      </c>
      <c r="M303" s="44">
        <f t="shared" si="17"/>
        <v>1213.21</v>
      </c>
      <c r="N303" s="44">
        <f t="shared" si="18"/>
        <v>18786.79</v>
      </c>
      <c r="O303" s="88" t="s">
        <v>19</v>
      </c>
    </row>
    <row r="304" spans="1:15" s="91" customFormat="1" x14ac:dyDescent="0.25">
      <c r="A304" s="87"/>
      <c r="B304" s="88">
        <f t="shared" si="19"/>
        <v>300</v>
      </c>
      <c r="C304" s="89" t="s">
        <v>369</v>
      </c>
      <c r="D304" s="90" t="s">
        <v>356</v>
      </c>
      <c r="E304" s="89" t="s">
        <v>25</v>
      </c>
      <c r="F304" s="90" t="s">
        <v>357</v>
      </c>
      <c r="G304" s="43">
        <v>15000</v>
      </c>
      <c r="H304" s="43">
        <v>15000</v>
      </c>
      <c r="I304" s="43">
        <v>430.5</v>
      </c>
      <c r="J304" s="43">
        <v>0</v>
      </c>
      <c r="K304" s="43">
        <v>456</v>
      </c>
      <c r="L304" s="43">
        <f>31.21+2000</f>
        <v>2031.21</v>
      </c>
      <c r="M304" s="44">
        <f t="shared" si="17"/>
        <v>2917.71</v>
      </c>
      <c r="N304" s="44">
        <f t="shared" si="18"/>
        <v>12082.29</v>
      </c>
      <c r="O304" s="88" t="s">
        <v>19</v>
      </c>
    </row>
    <row r="305" spans="1:15" s="91" customFormat="1" x14ac:dyDescent="0.25">
      <c r="A305" s="87"/>
      <c r="B305" s="88">
        <f t="shared" si="19"/>
        <v>301</v>
      </c>
      <c r="C305" s="89" t="s">
        <v>370</v>
      </c>
      <c r="D305" s="90" t="s">
        <v>356</v>
      </c>
      <c r="E305" s="89" t="s">
        <v>25</v>
      </c>
      <c r="F305" s="90" t="s">
        <v>357</v>
      </c>
      <c r="G305" s="43">
        <v>17000</v>
      </c>
      <c r="H305" s="43">
        <v>17000</v>
      </c>
      <c r="I305" s="43">
        <v>487.9</v>
      </c>
      <c r="J305" s="43">
        <v>0</v>
      </c>
      <c r="K305" s="43">
        <v>516.79999999999995</v>
      </c>
      <c r="L305" s="43">
        <v>31.21</v>
      </c>
      <c r="M305" s="44">
        <f t="shared" ref="M305:M366" si="20">SUM(I305:L305)</f>
        <v>1035.9099999999999</v>
      </c>
      <c r="N305" s="44">
        <f t="shared" ref="N305:N366" si="21">G305-M305</f>
        <v>15964.09</v>
      </c>
      <c r="O305" s="88" t="s">
        <v>19</v>
      </c>
    </row>
    <row r="306" spans="1:15" s="91" customFormat="1" x14ac:dyDescent="0.25">
      <c r="A306" s="87"/>
      <c r="B306" s="88">
        <f t="shared" si="19"/>
        <v>302</v>
      </c>
      <c r="C306" s="89" t="s">
        <v>371</v>
      </c>
      <c r="D306" s="90" t="s">
        <v>356</v>
      </c>
      <c r="E306" s="89" t="s">
        <v>25</v>
      </c>
      <c r="F306" s="90" t="s">
        <v>360</v>
      </c>
      <c r="G306" s="43">
        <v>15000</v>
      </c>
      <c r="H306" s="43">
        <v>15000</v>
      </c>
      <c r="I306" s="43">
        <v>430.5</v>
      </c>
      <c r="J306" s="43">
        <v>0</v>
      </c>
      <c r="K306" s="43">
        <v>456</v>
      </c>
      <c r="L306" s="43">
        <v>5925.52</v>
      </c>
      <c r="M306" s="44">
        <f t="shared" si="20"/>
        <v>6812.02</v>
      </c>
      <c r="N306" s="44">
        <f t="shared" si="21"/>
        <v>8187.98</v>
      </c>
      <c r="O306" s="88" t="s">
        <v>19</v>
      </c>
    </row>
    <row r="307" spans="1:15" s="91" customFormat="1" ht="22.5" x14ac:dyDescent="0.25">
      <c r="A307" s="87"/>
      <c r="B307" s="88">
        <f t="shared" si="19"/>
        <v>303</v>
      </c>
      <c r="C307" s="89" t="s">
        <v>372</v>
      </c>
      <c r="D307" s="90" t="s">
        <v>356</v>
      </c>
      <c r="E307" s="89" t="s">
        <v>25</v>
      </c>
      <c r="F307" s="90" t="s">
        <v>373</v>
      </c>
      <c r="G307" s="43">
        <v>18000</v>
      </c>
      <c r="H307" s="43">
        <v>18000</v>
      </c>
      <c r="I307" s="43">
        <v>516.6</v>
      </c>
      <c r="J307" s="43">
        <v>0</v>
      </c>
      <c r="K307" s="43">
        <v>547.20000000000005</v>
      </c>
      <c r="L307" s="43">
        <v>1162.92</v>
      </c>
      <c r="M307" s="44">
        <f t="shared" si="20"/>
        <v>2226.7200000000003</v>
      </c>
      <c r="N307" s="44">
        <f>+G307-M307</f>
        <v>15773.279999999999</v>
      </c>
      <c r="O307" s="88" t="s">
        <v>19</v>
      </c>
    </row>
    <row r="308" spans="1:15" s="91" customFormat="1" x14ac:dyDescent="0.25">
      <c r="A308" s="87"/>
      <c r="B308" s="88">
        <f t="shared" si="19"/>
        <v>304</v>
      </c>
      <c r="C308" s="89" t="s">
        <v>374</v>
      </c>
      <c r="D308" s="90" t="s">
        <v>356</v>
      </c>
      <c r="E308" s="89" t="s">
        <v>21</v>
      </c>
      <c r="F308" s="90" t="s">
        <v>375</v>
      </c>
      <c r="G308" s="43">
        <v>35000</v>
      </c>
      <c r="H308" s="43">
        <v>35000</v>
      </c>
      <c r="I308" s="43">
        <v>1004.5</v>
      </c>
      <c r="J308" s="43">
        <v>0</v>
      </c>
      <c r="K308" s="43">
        <v>1064</v>
      </c>
      <c r="L308" s="43">
        <f>7151.6-6120.39</f>
        <v>1031.21</v>
      </c>
      <c r="M308" s="44">
        <f t="shared" si="20"/>
        <v>3099.71</v>
      </c>
      <c r="N308" s="44">
        <f t="shared" si="21"/>
        <v>31900.29</v>
      </c>
      <c r="O308" s="88" t="s">
        <v>23</v>
      </c>
    </row>
    <row r="309" spans="1:15" s="91" customFormat="1" x14ac:dyDescent="0.25">
      <c r="A309" s="87"/>
      <c r="B309" s="88">
        <f t="shared" si="19"/>
        <v>305</v>
      </c>
      <c r="C309" s="89" t="s">
        <v>376</v>
      </c>
      <c r="D309" s="90" t="s">
        <v>356</v>
      </c>
      <c r="E309" s="89" t="s">
        <v>25</v>
      </c>
      <c r="F309" s="90" t="s">
        <v>360</v>
      </c>
      <c r="G309" s="43">
        <v>15000</v>
      </c>
      <c r="H309" s="43">
        <v>15000</v>
      </c>
      <c r="I309" s="43">
        <v>430.5</v>
      </c>
      <c r="J309" s="43">
        <v>0</v>
      </c>
      <c r="K309" s="43">
        <v>456</v>
      </c>
      <c r="L309" s="43">
        <v>31.21</v>
      </c>
      <c r="M309" s="44">
        <f t="shared" si="20"/>
        <v>917.71</v>
      </c>
      <c r="N309" s="44">
        <f t="shared" si="21"/>
        <v>14082.29</v>
      </c>
      <c r="O309" s="88" t="s">
        <v>19</v>
      </c>
    </row>
    <row r="310" spans="1:15" s="91" customFormat="1" x14ac:dyDescent="0.25">
      <c r="A310" s="87"/>
      <c r="B310" s="88">
        <f t="shared" si="19"/>
        <v>306</v>
      </c>
      <c r="C310" s="89" t="s">
        <v>377</v>
      </c>
      <c r="D310" s="90" t="s">
        <v>356</v>
      </c>
      <c r="E310" s="89" t="s">
        <v>25</v>
      </c>
      <c r="F310" s="90" t="s">
        <v>360</v>
      </c>
      <c r="G310" s="43">
        <v>10000</v>
      </c>
      <c r="H310" s="43">
        <v>10000</v>
      </c>
      <c r="I310" s="43">
        <v>287</v>
      </c>
      <c r="J310" s="43">
        <v>0</v>
      </c>
      <c r="K310" s="43">
        <v>304</v>
      </c>
      <c r="L310" s="43">
        <v>27.21</v>
      </c>
      <c r="M310" s="44">
        <f t="shared" si="20"/>
        <v>618.21</v>
      </c>
      <c r="N310" s="44">
        <f t="shared" si="21"/>
        <v>9381.7900000000009</v>
      </c>
      <c r="O310" s="88" t="s">
        <v>19</v>
      </c>
    </row>
    <row r="311" spans="1:15" s="91" customFormat="1" x14ac:dyDescent="0.25">
      <c r="A311" s="87"/>
      <c r="B311" s="88">
        <f t="shared" si="19"/>
        <v>307</v>
      </c>
      <c r="C311" s="89" t="s">
        <v>378</v>
      </c>
      <c r="D311" s="90" t="s">
        <v>356</v>
      </c>
      <c r="E311" s="89" t="s">
        <v>25</v>
      </c>
      <c r="F311" s="90" t="s">
        <v>360</v>
      </c>
      <c r="G311" s="43">
        <v>15000</v>
      </c>
      <c r="H311" s="43">
        <v>15000</v>
      </c>
      <c r="I311" s="43">
        <v>430.5</v>
      </c>
      <c r="J311" s="43">
        <v>0</v>
      </c>
      <c r="K311" s="43">
        <v>456</v>
      </c>
      <c r="L311" s="43">
        <v>31.21</v>
      </c>
      <c r="M311" s="44">
        <f t="shared" si="20"/>
        <v>917.71</v>
      </c>
      <c r="N311" s="44">
        <f t="shared" si="21"/>
        <v>14082.29</v>
      </c>
      <c r="O311" s="88" t="s">
        <v>19</v>
      </c>
    </row>
    <row r="312" spans="1:15" s="91" customFormat="1" x14ac:dyDescent="0.25">
      <c r="A312" s="87"/>
      <c r="B312" s="88">
        <f t="shared" si="19"/>
        <v>308</v>
      </c>
      <c r="C312" s="89" t="s">
        <v>379</v>
      </c>
      <c r="D312" s="90" t="s">
        <v>356</v>
      </c>
      <c r="E312" s="89" t="s">
        <v>25</v>
      </c>
      <c r="F312" s="90" t="s">
        <v>360</v>
      </c>
      <c r="G312" s="43">
        <v>15000</v>
      </c>
      <c r="H312" s="43">
        <v>15000</v>
      </c>
      <c r="I312" s="43">
        <v>430.5</v>
      </c>
      <c r="J312" s="43">
        <v>0</v>
      </c>
      <c r="K312" s="43">
        <v>456</v>
      </c>
      <c r="L312" s="43">
        <v>531.21</v>
      </c>
      <c r="M312" s="44">
        <f t="shared" si="20"/>
        <v>1417.71</v>
      </c>
      <c r="N312" s="44">
        <f t="shared" si="21"/>
        <v>13582.29</v>
      </c>
      <c r="O312" s="88" t="s">
        <v>19</v>
      </c>
    </row>
    <row r="313" spans="1:15" s="91" customFormat="1" x14ac:dyDescent="0.25">
      <c r="A313" s="87"/>
      <c r="B313" s="88">
        <f t="shared" si="19"/>
        <v>309</v>
      </c>
      <c r="C313" s="89" t="s">
        <v>380</v>
      </c>
      <c r="D313" s="90" t="s">
        <v>356</v>
      </c>
      <c r="E313" s="89" t="s">
        <v>25</v>
      </c>
      <c r="F313" s="90" t="s">
        <v>375</v>
      </c>
      <c r="G313" s="43">
        <v>65000</v>
      </c>
      <c r="H313" s="43">
        <v>65000</v>
      </c>
      <c r="I313" s="43">
        <v>1865.5</v>
      </c>
      <c r="J313" s="43">
        <v>4427.58</v>
      </c>
      <c r="K313" s="43">
        <v>1976</v>
      </c>
      <c r="L313" s="43">
        <v>3952.64</v>
      </c>
      <c r="M313" s="44">
        <f t="shared" si="20"/>
        <v>12221.72</v>
      </c>
      <c r="N313" s="44">
        <f t="shared" si="21"/>
        <v>52778.28</v>
      </c>
      <c r="O313" s="88" t="s">
        <v>19</v>
      </c>
    </row>
    <row r="314" spans="1:15" s="91" customFormat="1" x14ac:dyDescent="0.25">
      <c r="A314" s="87"/>
      <c r="B314" s="88">
        <f t="shared" si="19"/>
        <v>310</v>
      </c>
      <c r="C314" s="89" t="s">
        <v>381</v>
      </c>
      <c r="D314" s="90" t="s">
        <v>356</v>
      </c>
      <c r="E314" s="89" t="s">
        <v>25</v>
      </c>
      <c r="F314" s="90" t="s">
        <v>360</v>
      </c>
      <c r="G314" s="43">
        <v>13000</v>
      </c>
      <c r="H314" s="43">
        <v>13000</v>
      </c>
      <c r="I314" s="43">
        <v>373.1</v>
      </c>
      <c r="J314" s="43">
        <v>0</v>
      </c>
      <c r="K314" s="43">
        <v>395.2</v>
      </c>
      <c r="L314" s="43">
        <v>531.21</v>
      </c>
      <c r="M314" s="44">
        <f t="shared" si="20"/>
        <v>1299.51</v>
      </c>
      <c r="N314" s="44">
        <f t="shared" si="21"/>
        <v>11700.49</v>
      </c>
      <c r="O314" s="88" t="s">
        <v>19</v>
      </c>
    </row>
    <row r="315" spans="1:15" s="91" customFormat="1" x14ac:dyDescent="0.25">
      <c r="A315" s="87"/>
      <c r="B315" s="88">
        <f t="shared" si="19"/>
        <v>311</v>
      </c>
      <c r="C315" s="89" t="s">
        <v>382</v>
      </c>
      <c r="D315" s="90" t="s">
        <v>356</v>
      </c>
      <c r="E315" s="89" t="s">
        <v>25</v>
      </c>
      <c r="F315" s="90" t="s">
        <v>360</v>
      </c>
      <c r="G315" s="43">
        <v>10000</v>
      </c>
      <c r="H315" s="43">
        <v>10000</v>
      </c>
      <c r="I315" s="43">
        <v>287</v>
      </c>
      <c r="J315" s="43">
        <v>0</v>
      </c>
      <c r="K315" s="43">
        <v>304</v>
      </c>
      <c r="L315" s="43">
        <v>29.21</v>
      </c>
      <c r="M315" s="44">
        <f t="shared" si="20"/>
        <v>620.21</v>
      </c>
      <c r="N315" s="44">
        <f t="shared" si="21"/>
        <v>9379.7900000000009</v>
      </c>
      <c r="O315" s="88" t="s">
        <v>19</v>
      </c>
    </row>
    <row r="316" spans="1:15" s="91" customFormat="1" x14ac:dyDescent="0.25">
      <c r="A316" s="87"/>
      <c r="B316" s="88">
        <f t="shared" si="19"/>
        <v>312</v>
      </c>
      <c r="C316" s="89" t="s">
        <v>383</v>
      </c>
      <c r="D316" s="90" t="s">
        <v>356</v>
      </c>
      <c r="E316" s="89" t="s">
        <v>25</v>
      </c>
      <c r="F316" s="90" t="s">
        <v>360</v>
      </c>
      <c r="G316" s="43">
        <v>10000</v>
      </c>
      <c r="H316" s="43">
        <v>10000</v>
      </c>
      <c r="I316" s="43">
        <v>287</v>
      </c>
      <c r="J316" s="43">
        <v>0</v>
      </c>
      <c r="K316" s="43">
        <v>304</v>
      </c>
      <c r="L316" s="43">
        <v>2438.62</v>
      </c>
      <c r="M316" s="44">
        <f t="shared" si="20"/>
        <v>3029.62</v>
      </c>
      <c r="N316" s="44">
        <f t="shared" si="21"/>
        <v>6970.38</v>
      </c>
      <c r="O316" s="88" t="s">
        <v>19</v>
      </c>
    </row>
    <row r="317" spans="1:15" s="91" customFormat="1" x14ac:dyDescent="0.25">
      <c r="A317" s="87"/>
      <c r="B317" s="88">
        <f t="shared" si="19"/>
        <v>313</v>
      </c>
      <c r="C317" s="89" t="s">
        <v>384</v>
      </c>
      <c r="D317" s="90" t="s">
        <v>356</v>
      </c>
      <c r="E317" s="89" t="s">
        <v>25</v>
      </c>
      <c r="F317" s="90" t="s">
        <v>360</v>
      </c>
      <c r="G317" s="43">
        <v>15000</v>
      </c>
      <c r="H317" s="43">
        <v>15000</v>
      </c>
      <c r="I317" s="43">
        <v>430.5</v>
      </c>
      <c r="J317" s="43">
        <v>0</v>
      </c>
      <c r="K317" s="43">
        <v>456</v>
      </c>
      <c r="L317" s="43">
        <v>29.21</v>
      </c>
      <c r="M317" s="44">
        <f t="shared" si="20"/>
        <v>915.71</v>
      </c>
      <c r="N317" s="44">
        <f t="shared" si="21"/>
        <v>14084.29</v>
      </c>
      <c r="O317" s="88" t="s">
        <v>19</v>
      </c>
    </row>
    <row r="318" spans="1:15" s="91" customFormat="1" x14ac:dyDescent="0.25">
      <c r="A318" s="87"/>
      <c r="B318" s="88">
        <f t="shared" si="19"/>
        <v>314</v>
      </c>
      <c r="C318" s="89" t="s">
        <v>385</v>
      </c>
      <c r="D318" s="90" t="s">
        <v>356</v>
      </c>
      <c r="E318" s="89" t="s">
        <v>25</v>
      </c>
      <c r="F318" s="90" t="s">
        <v>360</v>
      </c>
      <c r="G318" s="43">
        <v>15000</v>
      </c>
      <c r="H318" s="43">
        <v>15000</v>
      </c>
      <c r="I318" s="43">
        <v>430.5</v>
      </c>
      <c r="J318" s="43">
        <v>0</v>
      </c>
      <c r="K318" s="43">
        <v>456</v>
      </c>
      <c r="L318" s="43">
        <v>531.21</v>
      </c>
      <c r="M318" s="44">
        <f t="shared" si="20"/>
        <v>1417.71</v>
      </c>
      <c r="N318" s="44">
        <f t="shared" si="21"/>
        <v>13582.29</v>
      </c>
      <c r="O318" s="88" t="s">
        <v>19</v>
      </c>
    </row>
    <row r="319" spans="1:15" s="91" customFormat="1" ht="22.5" x14ac:dyDescent="0.25">
      <c r="A319" s="87"/>
      <c r="B319" s="88">
        <f t="shared" si="19"/>
        <v>315</v>
      </c>
      <c r="C319" s="89" t="s">
        <v>386</v>
      </c>
      <c r="D319" s="90" t="s">
        <v>356</v>
      </c>
      <c r="E319" s="89" t="s">
        <v>25</v>
      </c>
      <c r="F319" s="90" t="s">
        <v>373</v>
      </c>
      <c r="G319" s="43">
        <v>20000</v>
      </c>
      <c r="H319" s="43">
        <v>20000</v>
      </c>
      <c r="I319" s="43">
        <v>574</v>
      </c>
      <c r="J319" s="43">
        <v>0</v>
      </c>
      <c r="K319" s="43">
        <v>608</v>
      </c>
      <c r="L319" s="43">
        <v>531.21</v>
      </c>
      <c r="M319" s="44">
        <f t="shared" si="20"/>
        <v>1713.21</v>
      </c>
      <c r="N319" s="44">
        <f t="shared" si="21"/>
        <v>18286.79</v>
      </c>
      <c r="O319" s="88" t="s">
        <v>19</v>
      </c>
    </row>
    <row r="320" spans="1:15" s="91" customFormat="1" x14ac:dyDescent="0.25">
      <c r="A320" s="87"/>
      <c r="B320" s="88">
        <f t="shared" si="19"/>
        <v>316</v>
      </c>
      <c r="C320" s="89" t="s">
        <v>387</v>
      </c>
      <c r="D320" s="90" t="s">
        <v>356</v>
      </c>
      <c r="E320" s="89" t="s">
        <v>25</v>
      </c>
      <c r="F320" s="90" t="s">
        <v>360</v>
      </c>
      <c r="G320" s="43">
        <v>15000</v>
      </c>
      <c r="H320" s="43">
        <v>15000</v>
      </c>
      <c r="I320" s="43">
        <v>430.5</v>
      </c>
      <c r="J320" s="43">
        <v>0</v>
      </c>
      <c r="K320" s="43">
        <v>456</v>
      </c>
      <c r="L320" s="43">
        <v>31.21</v>
      </c>
      <c r="M320" s="44">
        <f t="shared" si="20"/>
        <v>917.71</v>
      </c>
      <c r="N320" s="44">
        <f t="shared" si="21"/>
        <v>14082.29</v>
      </c>
      <c r="O320" s="88" t="s">
        <v>19</v>
      </c>
    </row>
    <row r="321" spans="1:15" s="91" customFormat="1" x14ac:dyDescent="0.25">
      <c r="A321" s="87"/>
      <c r="B321" s="88">
        <f t="shared" si="19"/>
        <v>317</v>
      </c>
      <c r="C321" s="89" t="s">
        <v>388</v>
      </c>
      <c r="D321" s="90" t="s">
        <v>356</v>
      </c>
      <c r="E321" s="89" t="s">
        <v>25</v>
      </c>
      <c r="F321" s="90" t="s">
        <v>360</v>
      </c>
      <c r="G321" s="43">
        <v>15000</v>
      </c>
      <c r="H321" s="43">
        <v>15000</v>
      </c>
      <c r="I321" s="43">
        <v>430.5</v>
      </c>
      <c r="J321" s="43">
        <v>0</v>
      </c>
      <c r="K321" s="43">
        <v>456</v>
      </c>
      <c r="L321" s="43">
        <v>31.21</v>
      </c>
      <c r="M321" s="44">
        <f t="shared" si="20"/>
        <v>917.71</v>
      </c>
      <c r="N321" s="44">
        <f t="shared" si="21"/>
        <v>14082.29</v>
      </c>
      <c r="O321" s="88" t="s">
        <v>19</v>
      </c>
    </row>
    <row r="322" spans="1:15" s="91" customFormat="1" x14ac:dyDescent="0.25">
      <c r="A322" s="87"/>
      <c r="B322" s="88">
        <f t="shared" ref="B322:B384" si="22">+B321+1</f>
        <v>318</v>
      </c>
      <c r="C322" s="89" t="s">
        <v>389</v>
      </c>
      <c r="D322" s="90" t="s">
        <v>356</v>
      </c>
      <c r="E322" s="89" t="s">
        <v>25</v>
      </c>
      <c r="F322" s="90" t="s">
        <v>360</v>
      </c>
      <c r="G322" s="43">
        <v>15000</v>
      </c>
      <c r="H322" s="43">
        <v>15000</v>
      </c>
      <c r="I322" s="43">
        <v>430.5</v>
      </c>
      <c r="J322" s="43">
        <v>0</v>
      </c>
      <c r="K322" s="43">
        <v>456</v>
      </c>
      <c r="L322" s="43">
        <v>31.21</v>
      </c>
      <c r="M322" s="44">
        <f t="shared" si="20"/>
        <v>917.71</v>
      </c>
      <c r="N322" s="44">
        <f t="shared" si="21"/>
        <v>14082.29</v>
      </c>
      <c r="O322" s="88" t="s">
        <v>19</v>
      </c>
    </row>
    <row r="323" spans="1:15" s="91" customFormat="1" x14ac:dyDescent="0.25">
      <c r="A323" s="87"/>
      <c r="B323" s="88">
        <f t="shared" si="22"/>
        <v>319</v>
      </c>
      <c r="C323" s="89" t="s">
        <v>390</v>
      </c>
      <c r="D323" s="90" t="s">
        <v>356</v>
      </c>
      <c r="E323" s="89" t="s">
        <v>25</v>
      </c>
      <c r="F323" s="90" t="s">
        <v>360</v>
      </c>
      <c r="G323" s="43">
        <v>15000</v>
      </c>
      <c r="H323" s="43">
        <v>15000</v>
      </c>
      <c r="I323" s="43">
        <v>430.5</v>
      </c>
      <c r="J323" s="43">
        <v>0</v>
      </c>
      <c r="K323" s="43">
        <v>456</v>
      </c>
      <c r="L323" s="43">
        <v>31.21</v>
      </c>
      <c r="M323" s="44">
        <f t="shared" si="20"/>
        <v>917.71</v>
      </c>
      <c r="N323" s="44">
        <f t="shared" si="21"/>
        <v>14082.29</v>
      </c>
      <c r="O323" s="88" t="s">
        <v>19</v>
      </c>
    </row>
    <row r="324" spans="1:15" s="91" customFormat="1" x14ac:dyDescent="0.25">
      <c r="A324" s="87"/>
      <c r="B324" s="88">
        <f t="shared" si="22"/>
        <v>320</v>
      </c>
      <c r="C324" s="89" t="s">
        <v>391</v>
      </c>
      <c r="D324" s="90" t="s">
        <v>356</v>
      </c>
      <c r="E324" s="89" t="s">
        <v>25</v>
      </c>
      <c r="F324" s="90" t="s">
        <v>360</v>
      </c>
      <c r="G324" s="43">
        <v>13000</v>
      </c>
      <c r="H324" s="43">
        <v>13000</v>
      </c>
      <c r="I324" s="43">
        <v>373.1</v>
      </c>
      <c r="J324" s="43">
        <v>0</v>
      </c>
      <c r="K324" s="43">
        <v>395.2</v>
      </c>
      <c r="L324" s="43">
        <v>31.21</v>
      </c>
      <c r="M324" s="44">
        <f t="shared" si="20"/>
        <v>799.51</v>
      </c>
      <c r="N324" s="44">
        <f t="shared" si="21"/>
        <v>12200.49</v>
      </c>
      <c r="O324" s="88" t="s">
        <v>19</v>
      </c>
    </row>
    <row r="325" spans="1:15" s="91" customFormat="1" x14ac:dyDescent="0.25">
      <c r="A325" s="87"/>
      <c r="B325" s="88">
        <f t="shared" si="22"/>
        <v>321</v>
      </c>
      <c r="C325" s="89" t="s">
        <v>392</v>
      </c>
      <c r="D325" s="90" t="s">
        <v>356</v>
      </c>
      <c r="E325" s="89" t="s">
        <v>25</v>
      </c>
      <c r="F325" s="90" t="s">
        <v>360</v>
      </c>
      <c r="G325" s="43">
        <v>10000</v>
      </c>
      <c r="H325" s="43">
        <v>10000</v>
      </c>
      <c r="I325" s="43">
        <v>287</v>
      </c>
      <c r="J325" s="43">
        <v>0</v>
      </c>
      <c r="K325" s="43">
        <v>304</v>
      </c>
      <c r="L325" s="43">
        <v>31.21</v>
      </c>
      <c r="M325" s="44">
        <f t="shared" si="20"/>
        <v>622.21</v>
      </c>
      <c r="N325" s="44">
        <f t="shared" si="21"/>
        <v>9377.7900000000009</v>
      </c>
      <c r="O325" s="88" t="s">
        <v>19</v>
      </c>
    </row>
    <row r="326" spans="1:15" s="91" customFormat="1" x14ac:dyDescent="0.25">
      <c r="A326" s="87"/>
      <c r="B326" s="88">
        <f t="shared" si="22"/>
        <v>322</v>
      </c>
      <c r="C326" s="89" t="s">
        <v>393</v>
      </c>
      <c r="D326" s="90" t="s">
        <v>356</v>
      </c>
      <c r="E326" s="89" t="s">
        <v>25</v>
      </c>
      <c r="F326" s="90" t="s">
        <v>362</v>
      </c>
      <c r="G326" s="43">
        <v>20000</v>
      </c>
      <c r="H326" s="43">
        <v>20000</v>
      </c>
      <c r="I326" s="43">
        <v>574</v>
      </c>
      <c r="J326" s="43">
        <v>0</v>
      </c>
      <c r="K326" s="43">
        <v>608</v>
      </c>
      <c r="L326" s="43">
        <v>31.21</v>
      </c>
      <c r="M326" s="44">
        <f t="shared" si="20"/>
        <v>1213.21</v>
      </c>
      <c r="N326" s="44">
        <f t="shared" si="21"/>
        <v>18786.79</v>
      </c>
      <c r="O326" s="88" t="s">
        <v>19</v>
      </c>
    </row>
    <row r="327" spans="1:15" s="91" customFormat="1" x14ac:dyDescent="0.25">
      <c r="A327" s="87"/>
      <c r="B327" s="88">
        <f t="shared" si="22"/>
        <v>323</v>
      </c>
      <c r="C327" s="89" t="s">
        <v>394</v>
      </c>
      <c r="D327" s="90" t="s">
        <v>356</v>
      </c>
      <c r="E327" s="89" t="s">
        <v>25</v>
      </c>
      <c r="F327" s="90" t="s">
        <v>357</v>
      </c>
      <c r="G327" s="43">
        <v>11000</v>
      </c>
      <c r="H327" s="43">
        <v>11000</v>
      </c>
      <c r="I327" s="43">
        <v>315.7</v>
      </c>
      <c r="J327" s="43">
        <v>0</v>
      </c>
      <c r="K327" s="43">
        <v>334.4</v>
      </c>
      <c r="L327" s="43">
        <v>31.21</v>
      </c>
      <c r="M327" s="44">
        <f t="shared" si="20"/>
        <v>681.31</v>
      </c>
      <c r="N327" s="44">
        <f t="shared" si="21"/>
        <v>10318.69</v>
      </c>
      <c r="O327" s="88" t="s">
        <v>19</v>
      </c>
    </row>
    <row r="328" spans="1:15" s="91" customFormat="1" x14ac:dyDescent="0.25">
      <c r="A328" s="87"/>
      <c r="B328" s="88">
        <f t="shared" si="22"/>
        <v>324</v>
      </c>
      <c r="C328" s="89" t="s">
        <v>395</v>
      </c>
      <c r="D328" s="90" t="s">
        <v>356</v>
      </c>
      <c r="E328" s="89" t="s">
        <v>25</v>
      </c>
      <c r="F328" s="90" t="s">
        <v>357</v>
      </c>
      <c r="G328" s="43">
        <v>17000</v>
      </c>
      <c r="H328" s="43">
        <v>17000</v>
      </c>
      <c r="I328" s="43">
        <v>487.9</v>
      </c>
      <c r="J328" s="43">
        <v>0</v>
      </c>
      <c r="K328" s="43">
        <v>516.79999999999995</v>
      </c>
      <c r="L328" s="43">
        <v>31.21</v>
      </c>
      <c r="M328" s="44">
        <f t="shared" si="20"/>
        <v>1035.9099999999999</v>
      </c>
      <c r="N328" s="44">
        <f t="shared" si="21"/>
        <v>15964.09</v>
      </c>
      <c r="O328" s="88" t="s">
        <v>19</v>
      </c>
    </row>
    <row r="329" spans="1:15" s="91" customFormat="1" x14ac:dyDescent="0.25">
      <c r="A329" s="87"/>
      <c r="B329" s="88">
        <f t="shared" si="22"/>
        <v>325</v>
      </c>
      <c r="C329" s="89" t="s">
        <v>396</v>
      </c>
      <c r="D329" s="90" t="s">
        <v>356</v>
      </c>
      <c r="E329" s="89" t="s">
        <v>25</v>
      </c>
      <c r="F329" s="90" t="s">
        <v>357</v>
      </c>
      <c r="G329" s="43">
        <v>10000</v>
      </c>
      <c r="H329" s="43">
        <v>10000</v>
      </c>
      <c r="I329" s="43">
        <v>287</v>
      </c>
      <c r="J329" s="43">
        <v>0</v>
      </c>
      <c r="K329" s="43">
        <v>304</v>
      </c>
      <c r="L329" s="43">
        <v>27.21</v>
      </c>
      <c r="M329" s="44">
        <f t="shared" si="20"/>
        <v>618.21</v>
      </c>
      <c r="N329" s="44">
        <f t="shared" si="21"/>
        <v>9381.7900000000009</v>
      </c>
      <c r="O329" s="88" t="s">
        <v>19</v>
      </c>
    </row>
    <row r="330" spans="1:15" s="39" customFormat="1" x14ac:dyDescent="0.25">
      <c r="A330" s="12"/>
      <c r="B330" s="81">
        <f t="shared" si="22"/>
        <v>326</v>
      </c>
      <c r="C330" s="82" t="s">
        <v>397</v>
      </c>
      <c r="D330" s="83" t="s">
        <v>356</v>
      </c>
      <c r="E330" s="82" t="s">
        <v>21</v>
      </c>
      <c r="F330" s="83" t="s">
        <v>628</v>
      </c>
      <c r="G330" s="84">
        <v>55000</v>
      </c>
      <c r="H330" s="84">
        <v>55000</v>
      </c>
      <c r="I330" s="84">
        <v>1578.5</v>
      </c>
      <c r="J330" s="84">
        <v>1787.72</v>
      </c>
      <c r="K330" s="84">
        <v>1672</v>
      </c>
      <c r="L330" s="84">
        <v>5177.59</v>
      </c>
      <c r="M330" s="85">
        <f t="shared" si="20"/>
        <v>10215.810000000001</v>
      </c>
      <c r="N330" s="85">
        <f t="shared" si="21"/>
        <v>44784.19</v>
      </c>
      <c r="O330" s="81" t="s">
        <v>19</v>
      </c>
    </row>
    <row r="331" spans="1:15" s="91" customFormat="1" ht="22.5" x14ac:dyDescent="0.25">
      <c r="A331" s="87"/>
      <c r="B331" s="88">
        <f>B330+1</f>
        <v>327</v>
      </c>
      <c r="C331" s="89" t="s">
        <v>399</v>
      </c>
      <c r="D331" s="90" t="s">
        <v>356</v>
      </c>
      <c r="E331" s="89" t="s">
        <v>25</v>
      </c>
      <c r="F331" s="90" t="s">
        <v>373</v>
      </c>
      <c r="G331" s="43">
        <v>20000</v>
      </c>
      <c r="H331" s="43">
        <v>20000</v>
      </c>
      <c r="I331" s="43">
        <v>574</v>
      </c>
      <c r="J331" s="43">
        <v>0</v>
      </c>
      <c r="K331" s="43">
        <v>608</v>
      </c>
      <c r="L331" s="43">
        <v>31.21</v>
      </c>
      <c r="M331" s="44">
        <f t="shared" si="20"/>
        <v>1213.21</v>
      </c>
      <c r="N331" s="44">
        <f t="shared" si="21"/>
        <v>18786.79</v>
      </c>
      <c r="O331" s="88" t="s">
        <v>19</v>
      </c>
    </row>
    <row r="332" spans="1:15" s="91" customFormat="1" x14ac:dyDescent="0.25">
      <c r="A332" s="87"/>
      <c r="B332" s="88">
        <f t="shared" si="22"/>
        <v>328</v>
      </c>
      <c r="C332" s="89" t="s">
        <v>400</v>
      </c>
      <c r="D332" s="90" t="s">
        <v>356</v>
      </c>
      <c r="E332" s="89" t="s">
        <v>25</v>
      </c>
      <c r="F332" s="90" t="s">
        <v>360</v>
      </c>
      <c r="G332" s="43">
        <v>11000</v>
      </c>
      <c r="H332" s="43">
        <v>11000</v>
      </c>
      <c r="I332" s="43">
        <v>315.7</v>
      </c>
      <c r="J332" s="43">
        <v>0</v>
      </c>
      <c r="K332" s="43">
        <v>334.4</v>
      </c>
      <c r="L332" s="43">
        <v>31.21</v>
      </c>
      <c r="M332" s="44">
        <f t="shared" si="20"/>
        <v>681.31</v>
      </c>
      <c r="N332" s="44">
        <f t="shared" si="21"/>
        <v>10318.69</v>
      </c>
      <c r="O332" s="88" t="s">
        <v>19</v>
      </c>
    </row>
    <row r="333" spans="1:15" s="91" customFormat="1" x14ac:dyDescent="0.25">
      <c r="A333" s="87"/>
      <c r="B333" s="88">
        <f t="shared" si="22"/>
        <v>329</v>
      </c>
      <c r="C333" s="89" t="s">
        <v>401</v>
      </c>
      <c r="D333" s="90" t="s">
        <v>356</v>
      </c>
      <c r="E333" s="89" t="s">
        <v>25</v>
      </c>
      <c r="F333" s="90" t="s">
        <v>360</v>
      </c>
      <c r="G333" s="43">
        <v>10000</v>
      </c>
      <c r="H333" s="43">
        <v>10000</v>
      </c>
      <c r="I333" s="43">
        <v>287</v>
      </c>
      <c r="J333" s="43">
        <v>0</v>
      </c>
      <c r="K333" s="43">
        <v>304</v>
      </c>
      <c r="L333" s="43">
        <v>3475.36</v>
      </c>
      <c r="M333" s="44">
        <f t="shared" si="20"/>
        <v>4066.36</v>
      </c>
      <c r="N333" s="44">
        <f t="shared" si="21"/>
        <v>5933.6399999999994</v>
      </c>
      <c r="O333" s="88" t="s">
        <v>19</v>
      </c>
    </row>
    <row r="334" spans="1:15" s="91" customFormat="1" x14ac:dyDescent="0.25">
      <c r="A334" s="87"/>
      <c r="B334" s="88">
        <f t="shared" si="22"/>
        <v>330</v>
      </c>
      <c r="C334" s="89" t="s">
        <v>402</v>
      </c>
      <c r="D334" s="90" t="s">
        <v>356</v>
      </c>
      <c r="E334" s="89" t="s">
        <v>25</v>
      </c>
      <c r="F334" s="90" t="s">
        <v>360</v>
      </c>
      <c r="G334" s="43">
        <v>15000</v>
      </c>
      <c r="H334" s="43">
        <v>15000</v>
      </c>
      <c r="I334" s="43">
        <v>430.5</v>
      </c>
      <c r="J334" s="43">
        <v>0</v>
      </c>
      <c r="K334" s="43">
        <v>456</v>
      </c>
      <c r="L334" s="43">
        <v>3465</v>
      </c>
      <c r="M334" s="44">
        <f t="shared" si="20"/>
        <v>4351.5</v>
      </c>
      <c r="N334" s="44">
        <f t="shared" si="21"/>
        <v>10648.5</v>
      </c>
      <c r="O334" s="88" t="s">
        <v>19</v>
      </c>
    </row>
    <row r="335" spans="1:15" s="91" customFormat="1" x14ac:dyDescent="0.25">
      <c r="A335" s="87"/>
      <c r="B335" s="88">
        <f t="shared" si="22"/>
        <v>331</v>
      </c>
      <c r="C335" s="89" t="s">
        <v>403</v>
      </c>
      <c r="D335" s="90" t="s">
        <v>356</v>
      </c>
      <c r="E335" s="89" t="s">
        <v>25</v>
      </c>
      <c r="F335" s="90" t="s">
        <v>362</v>
      </c>
      <c r="G335" s="43">
        <v>20000</v>
      </c>
      <c r="H335" s="43">
        <v>20000</v>
      </c>
      <c r="I335" s="43">
        <v>574</v>
      </c>
      <c r="J335" s="43">
        <v>0</v>
      </c>
      <c r="K335" s="43">
        <v>608</v>
      </c>
      <c r="L335" s="43">
        <v>4546.91</v>
      </c>
      <c r="M335" s="44">
        <f t="shared" si="20"/>
        <v>5728.91</v>
      </c>
      <c r="N335" s="44">
        <f t="shared" si="21"/>
        <v>14271.09</v>
      </c>
      <c r="O335" s="88" t="s">
        <v>19</v>
      </c>
    </row>
    <row r="336" spans="1:15" s="91" customFormat="1" ht="22.5" x14ac:dyDescent="0.25">
      <c r="A336" s="87"/>
      <c r="B336" s="88">
        <f t="shared" si="22"/>
        <v>332</v>
      </c>
      <c r="C336" s="89" t="s">
        <v>404</v>
      </c>
      <c r="D336" s="90" t="s">
        <v>356</v>
      </c>
      <c r="E336" s="89" t="s">
        <v>25</v>
      </c>
      <c r="F336" s="90" t="s">
        <v>373</v>
      </c>
      <c r="G336" s="43">
        <v>13100</v>
      </c>
      <c r="H336" s="43">
        <v>13100</v>
      </c>
      <c r="I336" s="43">
        <v>375.97</v>
      </c>
      <c r="J336" s="43">
        <v>0</v>
      </c>
      <c r="K336" s="43">
        <v>398.24</v>
      </c>
      <c r="L336" s="43">
        <v>27.21</v>
      </c>
      <c r="M336" s="44">
        <f t="shared" si="20"/>
        <v>801.42000000000007</v>
      </c>
      <c r="N336" s="44">
        <f t="shared" si="21"/>
        <v>12298.58</v>
      </c>
      <c r="O336" s="88" t="s">
        <v>19</v>
      </c>
    </row>
    <row r="337" spans="1:15" s="91" customFormat="1" x14ac:dyDescent="0.25">
      <c r="A337" s="87"/>
      <c r="B337" s="88">
        <f t="shared" si="22"/>
        <v>333</v>
      </c>
      <c r="C337" s="89" t="s">
        <v>405</v>
      </c>
      <c r="D337" s="90" t="s">
        <v>356</v>
      </c>
      <c r="E337" s="89" t="s">
        <v>25</v>
      </c>
      <c r="F337" s="90" t="s">
        <v>360</v>
      </c>
      <c r="G337" s="43">
        <v>20000</v>
      </c>
      <c r="H337" s="43">
        <v>20000</v>
      </c>
      <c r="I337" s="43">
        <v>574</v>
      </c>
      <c r="J337" s="43">
        <v>0</v>
      </c>
      <c r="K337" s="43">
        <v>608</v>
      </c>
      <c r="L337" s="43">
        <v>6812.26</v>
      </c>
      <c r="M337" s="44">
        <f>+L337+K337+J337+I337</f>
        <v>7994.26</v>
      </c>
      <c r="N337" s="44">
        <f t="shared" si="21"/>
        <v>12005.74</v>
      </c>
      <c r="O337" s="88" t="s">
        <v>19</v>
      </c>
    </row>
    <row r="338" spans="1:15" s="91" customFormat="1" x14ac:dyDescent="0.25">
      <c r="A338" s="87"/>
      <c r="B338" s="88">
        <f t="shared" si="22"/>
        <v>334</v>
      </c>
      <c r="C338" s="89" t="s">
        <v>406</v>
      </c>
      <c r="D338" s="90" t="s">
        <v>356</v>
      </c>
      <c r="E338" s="89" t="s">
        <v>21</v>
      </c>
      <c r="F338" s="90" t="s">
        <v>375</v>
      </c>
      <c r="G338" s="43">
        <v>55000</v>
      </c>
      <c r="H338" s="43">
        <v>55000</v>
      </c>
      <c r="I338" s="43">
        <v>1578.5</v>
      </c>
      <c r="J338" s="43">
        <v>2559.6799999999998</v>
      </c>
      <c r="K338" s="43">
        <v>1672</v>
      </c>
      <c r="L338" s="43">
        <f>3301.64+550+29.21+100+1950</f>
        <v>5930.85</v>
      </c>
      <c r="M338" s="44">
        <f t="shared" si="20"/>
        <v>11741.03</v>
      </c>
      <c r="N338" s="44">
        <f t="shared" si="21"/>
        <v>43258.97</v>
      </c>
      <c r="O338" s="88" t="s">
        <v>19</v>
      </c>
    </row>
    <row r="339" spans="1:15" s="91" customFormat="1" x14ac:dyDescent="0.25">
      <c r="A339" s="87"/>
      <c r="B339" s="88">
        <f t="shared" si="22"/>
        <v>335</v>
      </c>
      <c r="C339" s="89" t="s">
        <v>407</v>
      </c>
      <c r="D339" s="90" t="s">
        <v>356</v>
      </c>
      <c r="E339" s="89" t="s">
        <v>25</v>
      </c>
      <c r="F339" s="90" t="s">
        <v>357</v>
      </c>
      <c r="G339" s="43">
        <v>15000</v>
      </c>
      <c r="H339" s="43">
        <v>15000</v>
      </c>
      <c r="I339" s="43">
        <v>430.5</v>
      </c>
      <c r="J339" s="43">
        <v>0</v>
      </c>
      <c r="K339" s="43">
        <v>456</v>
      </c>
      <c r="L339" s="43">
        <v>31.21</v>
      </c>
      <c r="M339" s="44">
        <f t="shared" si="20"/>
        <v>917.71</v>
      </c>
      <c r="N339" s="44">
        <f t="shared" si="21"/>
        <v>14082.29</v>
      </c>
      <c r="O339" s="88" t="s">
        <v>19</v>
      </c>
    </row>
    <row r="340" spans="1:15" s="91" customFormat="1" ht="22.5" x14ac:dyDescent="0.25">
      <c r="A340" s="87"/>
      <c r="B340" s="88">
        <f t="shared" si="22"/>
        <v>336</v>
      </c>
      <c r="C340" s="89" t="s">
        <v>408</v>
      </c>
      <c r="D340" s="90" t="s">
        <v>356</v>
      </c>
      <c r="E340" s="89" t="s">
        <v>25</v>
      </c>
      <c r="F340" s="90" t="s">
        <v>409</v>
      </c>
      <c r="G340" s="43">
        <v>18000</v>
      </c>
      <c r="H340" s="43">
        <v>18000</v>
      </c>
      <c r="I340" s="43">
        <v>516.6</v>
      </c>
      <c r="J340" s="43">
        <v>0</v>
      </c>
      <c r="K340" s="43">
        <v>547.20000000000005</v>
      </c>
      <c r="L340" s="43">
        <f>415.86+29.21+500</f>
        <v>945.06999999999994</v>
      </c>
      <c r="M340" s="44">
        <f>+L340+K340+J340+I340</f>
        <v>2008.87</v>
      </c>
      <c r="N340" s="44">
        <f>+G340-M340</f>
        <v>15991.130000000001</v>
      </c>
      <c r="O340" s="88" t="s">
        <v>19</v>
      </c>
    </row>
    <row r="341" spans="1:15" s="91" customFormat="1" x14ac:dyDescent="0.25">
      <c r="A341" s="87"/>
      <c r="B341" s="88">
        <f t="shared" si="22"/>
        <v>337</v>
      </c>
      <c r="C341" s="89" t="s">
        <v>410</v>
      </c>
      <c r="D341" s="90" t="s">
        <v>356</v>
      </c>
      <c r="E341" s="89" t="s">
        <v>25</v>
      </c>
      <c r="F341" s="90" t="s">
        <v>357</v>
      </c>
      <c r="G341" s="43">
        <v>13000</v>
      </c>
      <c r="H341" s="43">
        <v>13000</v>
      </c>
      <c r="I341" s="43">
        <v>373.1</v>
      </c>
      <c r="J341" s="43">
        <v>0</v>
      </c>
      <c r="K341" s="43">
        <v>395.2</v>
      </c>
      <c r="L341" s="43">
        <f>4006.33</f>
        <v>4006.33</v>
      </c>
      <c r="M341" s="44">
        <f>+L341+K341+J341+I341</f>
        <v>4774.63</v>
      </c>
      <c r="N341" s="44">
        <f t="shared" si="21"/>
        <v>8225.369999999999</v>
      </c>
      <c r="O341" s="88" t="s">
        <v>19</v>
      </c>
    </row>
    <row r="342" spans="1:15" s="91" customFormat="1" x14ac:dyDescent="0.25">
      <c r="A342" s="87"/>
      <c r="B342" s="88">
        <f t="shared" si="22"/>
        <v>338</v>
      </c>
      <c r="C342" s="89" t="s">
        <v>411</v>
      </c>
      <c r="D342" s="90" t="s">
        <v>356</v>
      </c>
      <c r="E342" s="89" t="s">
        <v>25</v>
      </c>
      <c r="F342" s="90" t="s">
        <v>360</v>
      </c>
      <c r="G342" s="43">
        <v>15000</v>
      </c>
      <c r="H342" s="43">
        <v>15000</v>
      </c>
      <c r="I342" s="43">
        <v>430.5</v>
      </c>
      <c r="J342" s="43">
        <v>0</v>
      </c>
      <c r="K342" s="43">
        <v>456</v>
      </c>
      <c r="L342" s="43">
        <v>31.21</v>
      </c>
      <c r="M342" s="44">
        <f t="shared" si="20"/>
        <v>917.71</v>
      </c>
      <c r="N342" s="44">
        <f t="shared" si="21"/>
        <v>14082.29</v>
      </c>
      <c r="O342" s="88" t="s">
        <v>19</v>
      </c>
    </row>
    <row r="343" spans="1:15" s="91" customFormat="1" x14ac:dyDescent="0.25">
      <c r="A343" s="87"/>
      <c r="B343" s="88">
        <f t="shared" si="22"/>
        <v>339</v>
      </c>
      <c r="C343" s="89" t="s">
        <v>412</v>
      </c>
      <c r="D343" s="90" t="s">
        <v>356</v>
      </c>
      <c r="E343" s="89" t="s">
        <v>25</v>
      </c>
      <c r="F343" s="90" t="s">
        <v>360</v>
      </c>
      <c r="G343" s="43">
        <v>15000</v>
      </c>
      <c r="H343" s="43">
        <v>15000</v>
      </c>
      <c r="I343" s="43">
        <v>430.5</v>
      </c>
      <c r="J343" s="43">
        <v>0</v>
      </c>
      <c r="K343" s="43">
        <v>456</v>
      </c>
      <c r="L343" s="43">
        <v>31.21</v>
      </c>
      <c r="M343" s="44">
        <f t="shared" si="20"/>
        <v>917.71</v>
      </c>
      <c r="N343" s="44">
        <f t="shared" si="21"/>
        <v>14082.29</v>
      </c>
      <c r="O343" s="88" t="s">
        <v>19</v>
      </c>
    </row>
    <row r="344" spans="1:15" s="91" customFormat="1" x14ac:dyDescent="0.25">
      <c r="A344" s="87"/>
      <c r="B344" s="88">
        <f t="shared" si="22"/>
        <v>340</v>
      </c>
      <c r="C344" s="89" t="s">
        <v>413</v>
      </c>
      <c r="D344" s="90" t="s">
        <v>356</v>
      </c>
      <c r="E344" s="89" t="s">
        <v>25</v>
      </c>
      <c r="F344" s="90" t="s">
        <v>357</v>
      </c>
      <c r="G344" s="43">
        <v>15000</v>
      </c>
      <c r="H344" s="43">
        <v>15000</v>
      </c>
      <c r="I344" s="43">
        <v>430.5</v>
      </c>
      <c r="J344" s="43">
        <v>0</v>
      </c>
      <c r="K344" s="43">
        <v>456</v>
      </c>
      <c r="L344" s="43">
        <v>31.21</v>
      </c>
      <c r="M344" s="44">
        <f t="shared" si="20"/>
        <v>917.71</v>
      </c>
      <c r="N344" s="44">
        <f t="shared" si="21"/>
        <v>14082.29</v>
      </c>
      <c r="O344" s="88" t="s">
        <v>19</v>
      </c>
    </row>
    <row r="345" spans="1:15" s="91" customFormat="1" x14ac:dyDescent="0.25">
      <c r="A345" s="87"/>
      <c r="B345" s="88">
        <f t="shared" si="22"/>
        <v>341</v>
      </c>
      <c r="C345" s="89" t="s">
        <v>414</v>
      </c>
      <c r="D345" s="90" t="s">
        <v>356</v>
      </c>
      <c r="E345" s="89" t="s">
        <v>25</v>
      </c>
      <c r="F345" s="90" t="s">
        <v>360</v>
      </c>
      <c r="G345" s="43">
        <v>15000</v>
      </c>
      <c r="H345" s="43">
        <v>15000</v>
      </c>
      <c r="I345" s="43">
        <v>430.5</v>
      </c>
      <c r="J345" s="43">
        <v>0</v>
      </c>
      <c r="K345" s="43">
        <v>456</v>
      </c>
      <c r="L345" s="43">
        <v>5731.25</v>
      </c>
      <c r="M345" s="44">
        <f t="shared" si="20"/>
        <v>6617.75</v>
      </c>
      <c r="N345" s="44">
        <f t="shared" si="21"/>
        <v>8382.25</v>
      </c>
      <c r="O345" s="88" t="s">
        <v>19</v>
      </c>
    </row>
    <row r="346" spans="1:15" s="91" customFormat="1" x14ac:dyDescent="0.25">
      <c r="A346" s="87"/>
      <c r="B346" s="88">
        <f t="shared" si="22"/>
        <v>342</v>
      </c>
      <c r="C346" s="89" t="s">
        <v>415</v>
      </c>
      <c r="D346" s="90" t="s">
        <v>356</v>
      </c>
      <c r="E346" s="89" t="s">
        <v>25</v>
      </c>
      <c r="F346" s="90" t="s">
        <v>357</v>
      </c>
      <c r="G346" s="43">
        <v>15000</v>
      </c>
      <c r="H346" s="43">
        <v>15000</v>
      </c>
      <c r="I346" s="43">
        <v>430.5</v>
      </c>
      <c r="J346" s="43">
        <v>0</v>
      </c>
      <c r="K346" s="43">
        <v>456</v>
      </c>
      <c r="L346" s="43">
        <v>1031.21</v>
      </c>
      <c r="M346" s="44">
        <f t="shared" si="20"/>
        <v>1917.71</v>
      </c>
      <c r="N346" s="44">
        <f t="shared" si="21"/>
        <v>13082.29</v>
      </c>
      <c r="O346" s="88" t="s">
        <v>19</v>
      </c>
    </row>
    <row r="347" spans="1:15" s="91" customFormat="1" x14ac:dyDescent="0.25">
      <c r="A347" s="87"/>
      <c r="B347" s="88">
        <f t="shared" si="22"/>
        <v>343</v>
      </c>
      <c r="C347" s="89" t="s">
        <v>416</v>
      </c>
      <c r="D347" s="90" t="s">
        <v>356</v>
      </c>
      <c r="E347" s="89" t="s">
        <v>25</v>
      </c>
      <c r="F347" s="90" t="s">
        <v>360</v>
      </c>
      <c r="G347" s="43">
        <v>10000</v>
      </c>
      <c r="H347" s="43">
        <v>10000</v>
      </c>
      <c r="I347" s="43">
        <v>287</v>
      </c>
      <c r="J347" s="43">
        <v>0</v>
      </c>
      <c r="K347" s="43">
        <v>304</v>
      </c>
      <c r="L347" s="43">
        <v>31.21</v>
      </c>
      <c r="M347" s="44">
        <f t="shared" si="20"/>
        <v>622.21</v>
      </c>
      <c r="N347" s="44">
        <f t="shared" si="21"/>
        <v>9377.7900000000009</v>
      </c>
      <c r="O347" s="88" t="s">
        <v>19</v>
      </c>
    </row>
    <row r="348" spans="1:15" s="91" customFormat="1" x14ac:dyDescent="0.25">
      <c r="A348" s="87"/>
      <c r="B348" s="88">
        <f t="shared" si="22"/>
        <v>344</v>
      </c>
      <c r="C348" s="89" t="s">
        <v>417</v>
      </c>
      <c r="D348" s="90" t="s">
        <v>356</v>
      </c>
      <c r="E348" s="89" t="s">
        <v>25</v>
      </c>
      <c r="F348" s="90" t="s">
        <v>360</v>
      </c>
      <c r="G348" s="43">
        <v>15000</v>
      </c>
      <c r="H348" s="43">
        <v>15000</v>
      </c>
      <c r="I348" s="43">
        <v>430.5</v>
      </c>
      <c r="J348" s="43">
        <v>0</v>
      </c>
      <c r="K348" s="43">
        <v>456</v>
      </c>
      <c r="L348" s="43">
        <v>531.21</v>
      </c>
      <c r="M348" s="44">
        <f t="shared" si="20"/>
        <v>1417.71</v>
      </c>
      <c r="N348" s="44">
        <f t="shared" si="21"/>
        <v>13582.29</v>
      </c>
      <c r="O348" s="88" t="s">
        <v>19</v>
      </c>
    </row>
    <row r="349" spans="1:15" s="91" customFormat="1" x14ac:dyDescent="0.25">
      <c r="A349" s="87"/>
      <c r="B349" s="88">
        <f t="shared" si="22"/>
        <v>345</v>
      </c>
      <c r="C349" s="89" t="s">
        <v>418</v>
      </c>
      <c r="D349" s="90" t="s">
        <v>356</v>
      </c>
      <c r="E349" s="89" t="s">
        <v>25</v>
      </c>
      <c r="F349" s="90" t="s">
        <v>360</v>
      </c>
      <c r="G349" s="43">
        <v>10000</v>
      </c>
      <c r="H349" s="43">
        <v>10000</v>
      </c>
      <c r="I349" s="43">
        <v>287</v>
      </c>
      <c r="J349" s="43">
        <v>0</v>
      </c>
      <c r="K349" s="43">
        <v>304</v>
      </c>
      <c r="L349" s="43">
        <v>29.21</v>
      </c>
      <c r="M349" s="44">
        <f t="shared" si="20"/>
        <v>620.21</v>
      </c>
      <c r="N349" s="44">
        <f t="shared" si="21"/>
        <v>9379.7900000000009</v>
      </c>
      <c r="O349" s="88" t="s">
        <v>19</v>
      </c>
    </row>
    <row r="350" spans="1:15" s="91" customFormat="1" x14ac:dyDescent="0.25">
      <c r="A350" s="87"/>
      <c r="B350" s="88">
        <f t="shared" si="22"/>
        <v>346</v>
      </c>
      <c r="C350" s="89" t="s">
        <v>419</v>
      </c>
      <c r="D350" s="90" t="s">
        <v>356</v>
      </c>
      <c r="E350" s="89" t="s">
        <v>25</v>
      </c>
      <c r="F350" s="90" t="s">
        <v>375</v>
      </c>
      <c r="G350" s="43">
        <v>45000</v>
      </c>
      <c r="H350" s="43">
        <v>45000</v>
      </c>
      <c r="I350" s="43">
        <v>1291.5</v>
      </c>
      <c r="J350" s="43">
        <v>1148.33</v>
      </c>
      <c r="K350" s="43">
        <v>1368</v>
      </c>
      <c r="L350" s="43">
        <f>5830.82+450+31.21+12615.23+1700</f>
        <v>20627.259999999998</v>
      </c>
      <c r="M350" s="44">
        <f t="shared" si="20"/>
        <v>24435.089999999997</v>
      </c>
      <c r="N350" s="44">
        <f t="shared" si="21"/>
        <v>20564.910000000003</v>
      </c>
      <c r="O350" s="88" t="s">
        <v>19</v>
      </c>
    </row>
    <row r="351" spans="1:15" s="91" customFormat="1" x14ac:dyDescent="0.25">
      <c r="A351" s="87"/>
      <c r="B351" s="88">
        <f t="shared" si="22"/>
        <v>347</v>
      </c>
      <c r="C351" s="89" t="s">
        <v>420</v>
      </c>
      <c r="D351" s="90" t="s">
        <v>356</v>
      </c>
      <c r="E351" s="89" t="s">
        <v>25</v>
      </c>
      <c r="F351" s="90" t="s">
        <v>357</v>
      </c>
      <c r="G351" s="43">
        <v>15000</v>
      </c>
      <c r="H351" s="43">
        <v>15000</v>
      </c>
      <c r="I351" s="43">
        <v>430.5</v>
      </c>
      <c r="J351" s="43">
        <v>0</v>
      </c>
      <c r="K351" s="43">
        <v>456</v>
      </c>
      <c r="L351" s="43">
        <v>4388.63</v>
      </c>
      <c r="M351" s="44">
        <f t="shared" si="20"/>
        <v>5275.13</v>
      </c>
      <c r="N351" s="44">
        <f t="shared" si="21"/>
        <v>9724.869999999999</v>
      </c>
      <c r="O351" s="88" t="s">
        <v>19</v>
      </c>
    </row>
    <row r="352" spans="1:15" s="91" customFormat="1" x14ac:dyDescent="0.25">
      <c r="A352" s="87"/>
      <c r="B352" s="88">
        <f t="shared" si="22"/>
        <v>348</v>
      </c>
      <c r="C352" s="89" t="s">
        <v>421</v>
      </c>
      <c r="D352" s="90" t="s">
        <v>356</v>
      </c>
      <c r="E352" s="89" t="s">
        <v>25</v>
      </c>
      <c r="F352" s="90" t="s">
        <v>360</v>
      </c>
      <c r="G352" s="43">
        <v>15000</v>
      </c>
      <c r="H352" s="43">
        <v>15000</v>
      </c>
      <c r="I352" s="43">
        <v>430.5</v>
      </c>
      <c r="J352" s="43">
        <v>0</v>
      </c>
      <c r="K352" s="43">
        <v>456</v>
      </c>
      <c r="L352" s="43">
        <f>100+31.21+1000+4406.68+2637.48</f>
        <v>8175.3700000000008</v>
      </c>
      <c r="M352" s="44">
        <f t="shared" si="20"/>
        <v>9061.8700000000008</v>
      </c>
      <c r="N352" s="44">
        <f t="shared" si="21"/>
        <v>5938.1299999999992</v>
      </c>
      <c r="O352" s="88" t="s">
        <v>19</v>
      </c>
    </row>
    <row r="353" spans="1:15" s="91" customFormat="1" x14ac:dyDescent="0.25">
      <c r="A353" s="87"/>
      <c r="B353" s="88">
        <f t="shared" si="22"/>
        <v>349</v>
      </c>
      <c r="C353" s="89" t="s">
        <v>422</v>
      </c>
      <c r="D353" s="90" t="s">
        <v>356</v>
      </c>
      <c r="E353" s="89" t="s">
        <v>25</v>
      </c>
      <c r="F353" s="90" t="s">
        <v>360</v>
      </c>
      <c r="G353" s="43">
        <v>15000</v>
      </c>
      <c r="H353" s="43">
        <v>15000</v>
      </c>
      <c r="I353" s="43">
        <v>430.5</v>
      </c>
      <c r="J353" s="43">
        <v>0</v>
      </c>
      <c r="K353" s="43">
        <v>456</v>
      </c>
      <c r="L353" s="43">
        <v>31.21</v>
      </c>
      <c r="M353" s="44">
        <f t="shared" si="20"/>
        <v>917.71</v>
      </c>
      <c r="N353" s="44">
        <f t="shared" si="21"/>
        <v>14082.29</v>
      </c>
      <c r="O353" s="88" t="s">
        <v>19</v>
      </c>
    </row>
    <row r="354" spans="1:15" s="91" customFormat="1" x14ac:dyDescent="0.25">
      <c r="A354" s="87"/>
      <c r="B354" s="88">
        <f t="shared" si="22"/>
        <v>350</v>
      </c>
      <c r="C354" s="89" t="s">
        <v>423</v>
      </c>
      <c r="D354" s="90" t="s">
        <v>356</v>
      </c>
      <c r="E354" s="89" t="s">
        <v>25</v>
      </c>
      <c r="F354" s="90" t="s">
        <v>360</v>
      </c>
      <c r="G354" s="43">
        <v>10000</v>
      </c>
      <c r="H354" s="43">
        <v>10000</v>
      </c>
      <c r="I354" s="43">
        <v>287</v>
      </c>
      <c r="J354" s="43">
        <v>0</v>
      </c>
      <c r="K354" s="43">
        <v>304</v>
      </c>
      <c r="L354" s="43">
        <v>29.21</v>
      </c>
      <c r="M354" s="44">
        <f t="shared" si="20"/>
        <v>620.21</v>
      </c>
      <c r="N354" s="44">
        <f t="shared" si="21"/>
        <v>9379.7900000000009</v>
      </c>
      <c r="O354" s="88" t="s">
        <v>19</v>
      </c>
    </row>
    <row r="355" spans="1:15" s="91" customFormat="1" x14ac:dyDescent="0.25">
      <c r="A355" s="87"/>
      <c r="B355" s="88">
        <f t="shared" si="22"/>
        <v>351</v>
      </c>
      <c r="C355" s="89" t="s">
        <v>424</v>
      </c>
      <c r="D355" s="90" t="s">
        <v>356</v>
      </c>
      <c r="E355" s="89" t="s">
        <v>21</v>
      </c>
      <c r="F355" s="90" t="s">
        <v>375</v>
      </c>
      <c r="G355" s="43">
        <v>55000</v>
      </c>
      <c r="H355" s="43">
        <v>55000</v>
      </c>
      <c r="I355" s="43">
        <v>1578.5</v>
      </c>
      <c r="J355" s="43">
        <v>2559.6799999999998</v>
      </c>
      <c r="K355" s="43">
        <v>1672</v>
      </c>
      <c r="L355" s="43">
        <v>2960.49</v>
      </c>
      <c r="M355" s="44">
        <f>+L355+K355+J355+I355</f>
        <v>8770.67</v>
      </c>
      <c r="N355" s="44">
        <f>+G355-M355</f>
        <v>46229.33</v>
      </c>
      <c r="O355" s="88" t="s">
        <v>19</v>
      </c>
    </row>
    <row r="356" spans="1:15" s="91" customFormat="1" x14ac:dyDescent="0.25">
      <c r="A356" s="87"/>
      <c r="B356" s="88">
        <f t="shared" si="22"/>
        <v>352</v>
      </c>
      <c r="C356" s="89" t="s">
        <v>425</v>
      </c>
      <c r="D356" s="90" t="s">
        <v>356</v>
      </c>
      <c r="E356" s="89" t="s">
        <v>25</v>
      </c>
      <c r="F356" s="90" t="s">
        <v>357</v>
      </c>
      <c r="G356" s="43">
        <v>15000</v>
      </c>
      <c r="H356" s="43">
        <v>15000</v>
      </c>
      <c r="I356" s="43">
        <v>430.5</v>
      </c>
      <c r="J356" s="43">
        <v>0</v>
      </c>
      <c r="K356" s="43">
        <v>456</v>
      </c>
      <c r="L356" s="43">
        <v>31.21</v>
      </c>
      <c r="M356" s="44">
        <f t="shared" si="20"/>
        <v>917.71</v>
      </c>
      <c r="N356" s="44">
        <f t="shared" si="21"/>
        <v>14082.29</v>
      </c>
      <c r="O356" s="88" t="s">
        <v>19</v>
      </c>
    </row>
    <row r="357" spans="1:15" s="91" customFormat="1" x14ac:dyDescent="0.25">
      <c r="A357" s="87"/>
      <c r="B357" s="88">
        <f t="shared" si="22"/>
        <v>353</v>
      </c>
      <c r="C357" s="89" t="s">
        <v>426</v>
      </c>
      <c r="D357" s="90" t="s">
        <v>356</v>
      </c>
      <c r="E357" s="89" t="s">
        <v>25</v>
      </c>
      <c r="F357" s="90" t="s">
        <v>360</v>
      </c>
      <c r="G357" s="43">
        <v>15000</v>
      </c>
      <c r="H357" s="43">
        <v>15000</v>
      </c>
      <c r="I357" s="43">
        <v>430.5</v>
      </c>
      <c r="J357" s="43">
        <v>0</v>
      </c>
      <c r="K357" s="43">
        <v>456</v>
      </c>
      <c r="L357" s="43">
        <v>31.21</v>
      </c>
      <c r="M357" s="44">
        <f t="shared" si="20"/>
        <v>917.71</v>
      </c>
      <c r="N357" s="44">
        <f t="shared" si="21"/>
        <v>14082.29</v>
      </c>
      <c r="O357" s="88" t="s">
        <v>19</v>
      </c>
    </row>
    <row r="358" spans="1:15" s="91" customFormat="1" x14ac:dyDescent="0.25">
      <c r="A358" s="87"/>
      <c r="B358" s="88">
        <f t="shared" si="22"/>
        <v>354</v>
      </c>
      <c r="C358" s="89" t="s">
        <v>427</v>
      </c>
      <c r="D358" s="90" t="s">
        <v>356</v>
      </c>
      <c r="E358" s="89" t="s">
        <v>25</v>
      </c>
      <c r="F358" s="90" t="s">
        <v>357</v>
      </c>
      <c r="G358" s="43">
        <v>15000</v>
      </c>
      <c r="H358" s="43">
        <v>15000</v>
      </c>
      <c r="I358" s="43">
        <v>430.5</v>
      </c>
      <c r="J358" s="43">
        <v>0</v>
      </c>
      <c r="K358" s="43">
        <v>456</v>
      </c>
      <c r="L358" s="43">
        <v>31.21</v>
      </c>
      <c r="M358" s="44">
        <f t="shared" si="20"/>
        <v>917.71</v>
      </c>
      <c r="N358" s="44">
        <f t="shared" si="21"/>
        <v>14082.29</v>
      </c>
      <c r="O358" s="88" t="s">
        <v>19</v>
      </c>
    </row>
    <row r="359" spans="1:15" s="91" customFormat="1" x14ac:dyDescent="0.25">
      <c r="A359" s="87"/>
      <c r="B359" s="88">
        <f t="shared" si="22"/>
        <v>355</v>
      </c>
      <c r="C359" s="89" t="s">
        <v>428</v>
      </c>
      <c r="D359" s="90" t="s">
        <v>356</v>
      </c>
      <c r="E359" s="89" t="s">
        <v>25</v>
      </c>
      <c r="F359" s="90" t="s">
        <v>360</v>
      </c>
      <c r="G359" s="43">
        <v>15000</v>
      </c>
      <c r="H359" s="43">
        <v>15000</v>
      </c>
      <c r="I359" s="43">
        <v>430.5</v>
      </c>
      <c r="J359" s="43">
        <v>0</v>
      </c>
      <c r="K359" s="43">
        <v>456</v>
      </c>
      <c r="L359" s="43">
        <v>31.21</v>
      </c>
      <c r="M359" s="44">
        <f t="shared" si="20"/>
        <v>917.71</v>
      </c>
      <c r="N359" s="44">
        <f t="shared" si="21"/>
        <v>14082.29</v>
      </c>
      <c r="O359" s="88" t="s">
        <v>19</v>
      </c>
    </row>
    <row r="360" spans="1:15" s="91" customFormat="1" x14ac:dyDescent="0.25">
      <c r="A360" s="87"/>
      <c r="B360" s="88">
        <f t="shared" si="22"/>
        <v>356</v>
      </c>
      <c r="C360" s="89" t="s">
        <v>429</v>
      </c>
      <c r="D360" s="90" t="s">
        <v>356</v>
      </c>
      <c r="E360" s="89" t="s">
        <v>25</v>
      </c>
      <c r="F360" s="90" t="s">
        <v>357</v>
      </c>
      <c r="G360" s="43">
        <v>15000</v>
      </c>
      <c r="H360" s="43">
        <v>15000</v>
      </c>
      <c r="I360" s="43">
        <v>430.5</v>
      </c>
      <c r="J360" s="43">
        <v>0</v>
      </c>
      <c r="K360" s="43">
        <v>456</v>
      </c>
      <c r="L360" s="43">
        <v>31.21</v>
      </c>
      <c r="M360" s="44">
        <f t="shared" si="20"/>
        <v>917.71</v>
      </c>
      <c r="N360" s="44">
        <f t="shared" si="21"/>
        <v>14082.29</v>
      </c>
      <c r="O360" s="88" t="s">
        <v>19</v>
      </c>
    </row>
    <row r="361" spans="1:15" s="91" customFormat="1" x14ac:dyDescent="0.25">
      <c r="A361" s="87"/>
      <c r="B361" s="88">
        <f t="shared" si="22"/>
        <v>357</v>
      </c>
      <c r="C361" s="89" t="s">
        <v>430</v>
      </c>
      <c r="D361" s="90" t="s">
        <v>356</v>
      </c>
      <c r="E361" s="89" t="s">
        <v>25</v>
      </c>
      <c r="F361" s="90" t="s">
        <v>360</v>
      </c>
      <c r="G361" s="43">
        <v>15000</v>
      </c>
      <c r="H361" s="43">
        <v>15000</v>
      </c>
      <c r="I361" s="43">
        <v>430.5</v>
      </c>
      <c r="J361" s="43">
        <v>0</v>
      </c>
      <c r="K361" s="43">
        <v>456</v>
      </c>
      <c r="L361" s="43">
        <v>1510.71</v>
      </c>
      <c r="M361" s="44">
        <f>+L361+K361+I361</f>
        <v>2397.21</v>
      </c>
      <c r="N361" s="44">
        <f t="shared" si="21"/>
        <v>12602.79</v>
      </c>
      <c r="O361" s="88" t="s">
        <v>19</v>
      </c>
    </row>
    <row r="362" spans="1:15" s="39" customFormat="1" x14ac:dyDescent="0.25">
      <c r="A362" s="37"/>
      <c r="B362" s="81">
        <f t="shared" si="22"/>
        <v>358</v>
      </c>
      <c r="C362" s="82" t="s">
        <v>431</v>
      </c>
      <c r="D362" s="83" t="s">
        <v>356</v>
      </c>
      <c r="E362" s="82" t="s">
        <v>25</v>
      </c>
      <c r="F362" s="83" t="s">
        <v>360</v>
      </c>
      <c r="G362" s="84">
        <v>15000</v>
      </c>
      <c r="H362" s="84">
        <v>15000</v>
      </c>
      <c r="I362" s="84">
        <v>430.5</v>
      </c>
      <c r="J362" s="84">
        <v>0</v>
      </c>
      <c r="K362" s="84">
        <v>456</v>
      </c>
      <c r="L362" s="84">
        <v>1031.21</v>
      </c>
      <c r="M362" s="85">
        <f t="shared" si="20"/>
        <v>1917.71</v>
      </c>
      <c r="N362" s="85">
        <f t="shared" si="21"/>
        <v>13082.29</v>
      </c>
      <c r="O362" s="81" t="s">
        <v>19</v>
      </c>
    </row>
    <row r="363" spans="1:15" s="91" customFormat="1" x14ac:dyDescent="0.25">
      <c r="A363" s="87"/>
      <c r="B363" s="88">
        <f t="shared" si="22"/>
        <v>359</v>
      </c>
      <c r="C363" s="89" t="s">
        <v>432</v>
      </c>
      <c r="D363" s="90" t="s">
        <v>356</v>
      </c>
      <c r="E363" s="89" t="s">
        <v>25</v>
      </c>
      <c r="F363" s="90" t="s">
        <v>360</v>
      </c>
      <c r="G363" s="43">
        <v>15000</v>
      </c>
      <c r="H363" s="43">
        <v>15000</v>
      </c>
      <c r="I363" s="43">
        <v>430.5</v>
      </c>
      <c r="J363" s="43">
        <v>0</v>
      </c>
      <c r="K363" s="43">
        <v>456</v>
      </c>
      <c r="L363" s="43">
        <v>31.21</v>
      </c>
      <c r="M363" s="44">
        <f t="shared" si="20"/>
        <v>917.71</v>
      </c>
      <c r="N363" s="44">
        <f t="shared" si="21"/>
        <v>14082.29</v>
      </c>
      <c r="O363" s="88" t="s">
        <v>19</v>
      </c>
    </row>
    <row r="364" spans="1:15" s="91" customFormat="1" x14ac:dyDescent="0.25">
      <c r="A364" s="87"/>
      <c r="B364" s="88">
        <f t="shared" si="22"/>
        <v>360</v>
      </c>
      <c r="C364" s="89" t="s">
        <v>433</v>
      </c>
      <c r="D364" s="90" t="s">
        <v>356</v>
      </c>
      <c r="E364" s="89" t="s">
        <v>25</v>
      </c>
      <c r="F364" s="90" t="s">
        <v>360</v>
      </c>
      <c r="G364" s="43">
        <v>15000</v>
      </c>
      <c r="H364" s="43">
        <v>15000</v>
      </c>
      <c r="I364" s="43">
        <v>430.5</v>
      </c>
      <c r="J364" s="43">
        <v>0</v>
      </c>
      <c r="K364" s="43">
        <v>456</v>
      </c>
      <c r="L364" s="43">
        <f>415.86+31.21</f>
        <v>447.07</v>
      </c>
      <c r="M364" s="44">
        <f t="shared" si="20"/>
        <v>1333.57</v>
      </c>
      <c r="N364" s="44">
        <f t="shared" si="21"/>
        <v>13666.43</v>
      </c>
      <c r="O364" s="88" t="s">
        <v>19</v>
      </c>
    </row>
    <row r="365" spans="1:15" s="91" customFormat="1" x14ac:dyDescent="0.25">
      <c r="A365" s="87"/>
      <c r="B365" s="88">
        <f t="shared" si="22"/>
        <v>361</v>
      </c>
      <c r="C365" s="89" t="s">
        <v>434</v>
      </c>
      <c r="D365" s="90" t="s">
        <v>356</v>
      </c>
      <c r="E365" s="89" t="s">
        <v>25</v>
      </c>
      <c r="F365" s="90" t="s">
        <v>360</v>
      </c>
      <c r="G365" s="43">
        <v>15000</v>
      </c>
      <c r="H365" s="43">
        <v>15000</v>
      </c>
      <c r="I365" s="43">
        <v>430.5</v>
      </c>
      <c r="J365" s="43">
        <v>0</v>
      </c>
      <c r="K365" s="43">
        <v>456</v>
      </c>
      <c r="L365" s="43">
        <v>2889.53</v>
      </c>
      <c r="M365" s="44">
        <f t="shared" si="20"/>
        <v>3776.03</v>
      </c>
      <c r="N365" s="44">
        <f t="shared" si="21"/>
        <v>11223.97</v>
      </c>
      <c r="O365" s="88" t="s">
        <v>19</v>
      </c>
    </row>
    <row r="366" spans="1:15" s="91" customFormat="1" x14ac:dyDescent="0.25">
      <c r="A366" s="87"/>
      <c r="B366" s="88">
        <f t="shared" si="22"/>
        <v>362</v>
      </c>
      <c r="C366" s="89" t="s">
        <v>435</v>
      </c>
      <c r="D366" s="90" t="s">
        <v>356</v>
      </c>
      <c r="E366" s="89" t="s">
        <v>25</v>
      </c>
      <c r="F366" s="90" t="s">
        <v>362</v>
      </c>
      <c r="G366" s="43">
        <v>20000</v>
      </c>
      <c r="H366" s="43">
        <v>20000</v>
      </c>
      <c r="I366" s="43">
        <v>574</v>
      </c>
      <c r="J366" s="43">
        <v>0</v>
      </c>
      <c r="K366" s="43">
        <v>608</v>
      </c>
      <c r="L366" s="43">
        <v>31.21</v>
      </c>
      <c r="M366" s="44">
        <f t="shared" si="20"/>
        <v>1213.21</v>
      </c>
      <c r="N366" s="44">
        <f t="shared" si="21"/>
        <v>18786.79</v>
      </c>
      <c r="O366" s="88" t="s">
        <v>19</v>
      </c>
    </row>
    <row r="367" spans="1:15" s="91" customFormat="1" x14ac:dyDescent="0.25">
      <c r="A367" s="87"/>
      <c r="B367" s="88">
        <f t="shared" si="22"/>
        <v>363</v>
      </c>
      <c r="C367" s="89" t="s">
        <v>436</v>
      </c>
      <c r="D367" s="90" t="s">
        <v>356</v>
      </c>
      <c r="E367" s="89" t="s">
        <v>25</v>
      </c>
      <c r="F367" s="90" t="s">
        <v>360</v>
      </c>
      <c r="G367" s="43">
        <v>15000</v>
      </c>
      <c r="H367" s="43">
        <v>15000</v>
      </c>
      <c r="I367" s="43">
        <v>430.5</v>
      </c>
      <c r="J367" s="43">
        <v>0</v>
      </c>
      <c r="K367" s="43">
        <v>456</v>
      </c>
      <c r="L367" s="43">
        <v>31.21</v>
      </c>
      <c r="M367" s="44">
        <f t="shared" ref="M367:M428" si="23">SUM(I367:L367)</f>
        <v>917.71</v>
      </c>
      <c r="N367" s="44">
        <f t="shared" ref="N367:N428" si="24">G367-M367</f>
        <v>14082.29</v>
      </c>
      <c r="O367" s="88" t="s">
        <v>19</v>
      </c>
    </row>
    <row r="368" spans="1:15" s="91" customFormat="1" x14ac:dyDescent="0.25">
      <c r="A368" s="87"/>
      <c r="B368" s="88">
        <f t="shared" si="22"/>
        <v>364</v>
      </c>
      <c r="C368" s="89" t="s">
        <v>437</v>
      </c>
      <c r="D368" s="90" t="s">
        <v>356</v>
      </c>
      <c r="E368" s="89" t="s">
        <v>25</v>
      </c>
      <c r="F368" s="90" t="s">
        <v>357</v>
      </c>
      <c r="G368" s="43">
        <v>10000</v>
      </c>
      <c r="H368" s="43">
        <v>10000</v>
      </c>
      <c r="I368" s="43">
        <v>287</v>
      </c>
      <c r="J368" s="43">
        <v>0</v>
      </c>
      <c r="K368" s="43">
        <v>304</v>
      </c>
      <c r="L368" s="43">
        <v>27.21</v>
      </c>
      <c r="M368" s="44">
        <f t="shared" si="23"/>
        <v>618.21</v>
      </c>
      <c r="N368" s="44">
        <f t="shared" si="24"/>
        <v>9381.7900000000009</v>
      </c>
      <c r="O368" s="88" t="s">
        <v>19</v>
      </c>
    </row>
    <row r="369" spans="1:15" s="91" customFormat="1" x14ac:dyDescent="0.25">
      <c r="A369" s="87"/>
      <c r="B369" s="88">
        <f t="shared" si="22"/>
        <v>365</v>
      </c>
      <c r="C369" s="89" t="s">
        <v>438</v>
      </c>
      <c r="D369" s="90" t="s">
        <v>356</v>
      </c>
      <c r="E369" s="89" t="s">
        <v>25</v>
      </c>
      <c r="F369" s="90" t="s">
        <v>357</v>
      </c>
      <c r="G369" s="43">
        <v>15000</v>
      </c>
      <c r="H369" s="43">
        <v>15000</v>
      </c>
      <c r="I369" s="43">
        <v>430.5</v>
      </c>
      <c r="J369" s="43">
        <v>0</v>
      </c>
      <c r="K369" s="43">
        <v>456</v>
      </c>
      <c r="L369" s="43">
        <v>7100.25</v>
      </c>
      <c r="M369" s="44">
        <f>+L369+K369+J369+I369</f>
        <v>7986.75</v>
      </c>
      <c r="N369" s="44">
        <f>+G369-M369</f>
        <v>7013.25</v>
      </c>
      <c r="O369" s="88" t="s">
        <v>19</v>
      </c>
    </row>
    <row r="370" spans="1:15" s="91" customFormat="1" ht="22.5" x14ac:dyDescent="0.25">
      <c r="A370" s="87"/>
      <c r="B370" s="88">
        <f t="shared" si="22"/>
        <v>366</v>
      </c>
      <c r="C370" s="89" t="s">
        <v>439</v>
      </c>
      <c r="D370" s="90" t="s">
        <v>356</v>
      </c>
      <c r="E370" s="89" t="s">
        <v>25</v>
      </c>
      <c r="F370" s="90" t="s">
        <v>373</v>
      </c>
      <c r="G370" s="43">
        <v>20000</v>
      </c>
      <c r="H370" s="43">
        <v>20000</v>
      </c>
      <c r="I370" s="43">
        <v>574</v>
      </c>
      <c r="J370" s="43">
        <v>0</v>
      </c>
      <c r="K370" s="43">
        <v>608</v>
      </c>
      <c r="L370" s="43">
        <v>27.21</v>
      </c>
      <c r="M370" s="44">
        <f t="shared" si="23"/>
        <v>1209.21</v>
      </c>
      <c r="N370" s="44">
        <f t="shared" si="24"/>
        <v>18790.79</v>
      </c>
      <c r="O370" s="88" t="s">
        <v>19</v>
      </c>
    </row>
    <row r="371" spans="1:15" s="91" customFormat="1" x14ac:dyDescent="0.25">
      <c r="A371" s="87"/>
      <c r="B371" s="88">
        <f t="shared" si="22"/>
        <v>367</v>
      </c>
      <c r="C371" s="89" t="s">
        <v>440</v>
      </c>
      <c r="D371" s="90" t="s">
        <v>356</v>
      </c>
      <c r="E371" s="89" t="s">
        <v>25</v>
      </c>
      <c r="F371" s="90" t="s">
        <v>360</v>
      </c>
      <c r="G371" s="43">
        <v>15000</v>
      </c>
      <c r="H371" s="43">
        <v>15000</v>
      </c>
      <c r="I371" s="43">
        <v>430.5</v>
      </c>
      <c r="J371" s="43">
        <v>0</v>
      </c>
      <c r="K371" s="43">
        <v>456</v>
      </c>
      <c r="L371" s="43">
        <f>31.21+2000+2637.48</f>
        <v>4668.6900000000005</v>
      </c>
      <c r="M371" s="44">
        <f t="shared" si="23"/>
        <v>5555.1900000000005</v>
      </c>
      <c r="N371" s="44">
        <f t="shared" si="24"/>
        <v>9444.81</v>
      </c>
      <c r="O371" s="88" t="s">
        <v>19</v>
      </c>
    </row>
    <row r="372" spans="1:15" s="91" customFormat="1" x14ac:dyDescent="0.25">
      <c r="A372" s="87"/>
      <c r="B372" s="88">
        <f t="shared" si="22"/>
        <v>368</v>
      </c>
      <c r="C372" s="89" t="s">
        <v>441</v>
      </c>
      <c r="D372" s="90" t="s">
        <v>356</v>
      </c>
      <c r="E372" s="89" t="s">
        <v>25</v>
      </c>
      <c r="F372" s="90" t="s">
        <v>357</v>
      </c>
      <c r="G372" s="43">
        <v>15000</v>
      </c>
      <c r="H372" s="43">
        <v>15000</v>
      </c>
      <c r="I372" s="43">
        <v>430.5</v>
      </c>
      <c r="J372" s="43">
        <v>0</v>
      </c>
      <c r="K372" s="43">
        <v>456</v>
      </c>
      <c r="L372" s="43">
        <v>6304.76</v>
      </c>
      <c r="M372" s="44">
        <f t="shared" si="23"/>
        <v>7191.26</v>
      </c>
      <c r="N372" s="44">
        <f t="shared" si="24"/>
        <v>7808.74</v>
      </c>
      <c r="O372" s="88" t="s">
        <v>19</v>
      </c>
    </row>
    <row r="373" spans="1:15" s="91" customFormat="1" x14ac:dyDescent="0.25">
      <c r="A373" s="87"/>
      <c r="B373" s="88">
        <f t="shared" si="22"/>
        <v>369</v>
      </c>
      <c r="C373" s="89" t="s">
        <v>442</v>
      </c>
      <c r="D373" s="90" t="s">
        <v>356</v>
      </c>
      <c r="E373" s="89" t="s">
        <v>25</v>
      </c>
      <c r="F373" s="90" t="s">
        <v>360</v>
      </c>
      <c r="G373" s="43">
        <v>13000</v>
      </c>
      <c r="H373" s="43">
        <v>13000</v>
      </c>
      <c r="I373" s="43">
        <v>373.1</v>
      </c>
      <c r="J373" s="43">
        <v>0</v>
      </c>
      <c r="K373" s="43">
        <v>395.2</v>
      </c>
      <c r="L373" s="43">
        <v>27.21</v>
      </c>
      <c r="M373" s="44">
        <f t="shared" si="23"/>
        <v>795.51</v>
      </c>
      <c r="N373" s="44">
        <f t="shared" si="24"/>
        <v>12204.49</v>
      </c>
      <c r="O373" s="88" t="s">
        <v>19</v>
      </c>
    </row>
    <row r="374" spans="1:15" s="91" customFormat="1" x14ac:dyDescent="0.25">
      <c r="A374" s="87"/>
      <c r="B374" s="88">
        <f t="shared" si="22"/>
        <v>370</v>
      </c>
      <c r="C374" s="89" t="s">
        <v>443</v>
      </c>
      <c r="D374" s="90" t="s">
        <v>356</v>
      </c>
      <c r="E374" s="89" t="s">
        <v>25</v>
      </c>
      <c r="F374" s="90" t="s">
        <v>360</v>
      </c>
      <c r="G374" s="43">
        <v>13000</v>
      </c>
      <c r="H374" s="43">
        <v>13000</v>
      </c>
      <c r="I374" s="43">
        <v>373.1</v>
      </c>
      <c r="J374" s="43">
        <v>0</v>
      </c>
      <c r="K374" s="43">
        <v>395.2</v>
      </c>
      <c r="L374" s="43">
        <v>31.21</v>
      </c>
      <c r="M374" s="44">
        <f t="shared" si="23"/>
        <v>799.51</v>
      </c>
      <c r="N374" s="44">
        <f t="shared" si="24"/>
        <v>12200.49</v>
      </c>
      <c r="O374" s="88" t="s">
        <v>19</v>
      </c>
    </row>
    <row r="375" spans="1:15" s="91" customFormat="1" x14ac:dyDescent="0.25">
      <c r="A375" s="87"/>
      <c r="B375" s="88">
        <f t="shared" si="22"/>
        <v>371</v>
      </c>
      <c r="C375" s="89" t="s">
        <v>444</v>
      </c>
      <c r="D375" s="90" t="s">
        <v>356</v>
      </c>
      <c r="E375" s="89" t="s">
        <v>25</v>
      </c>
      <c r="F375" s="90" t="s">
        <v>360</v>
      </c>
      <c r="G375" s="43">
        <v>10000</v>
      </c>
      <c r="H375" s="43">
        <v>10000</v>
      </c>
      <c r="I375" s="43">
        <v>287</v>
      </c>
      <c r="J375" s="43">
        <v>0</v>
      </c>
      <c r="K375" s="43">
        <v>304</v>
      </c>
      <c r="L375" s="43">
        <v>27.21</v>
      </c>
      <c r="M375" s="44">
        <f t="shared" si="23"/>
        <v>618.21</v>
      </c>
      <c r="N375" s="44">
        <f t="shared" si="24"/>
        <v>9381.7900000000009</v>
      </c>
      <c r="O375" s="88" t="s">
        <v>19</v>
      </c>
    </row>
    <row r="376" spans="1:15" s="91" customFormat="1" x14ac:dyDescent="0.25">
      <c r="A376" s="87"/>
      <c r="B376" s="88">
        <f t="shared" si="22"/>
        <v>372</v>
      </c>
      <c r="C376" s="89" t="s">
        <v>445</v>
      </c>
      <c r="D376" s="90" t="s">
        <v>356</v>
      </c>
      <c r="E376" s="89" t="s">
        <v>25</v>
      </c>
      <c r="F376" s="90" t="s">
        <v>360</v>
      </c>
      <c r="G376" s="43">
        <v>10000</v>
      </c>
      <c r="H376" s="43">
        <v>10000</v>
      </c>
      <c r="I376" s="43">
        <v>287</v>
      </c>
      <c r="J376" s="43">
        <v>0</v>
      </c>
      <c r="K376" s="43">
        <v>304</v>
      </c>
      <c r="L376" s="43">
        <v>2079.2800000000002</v>
      </c>
      <c r="M376" s="44">
        <f t="shared" si="23"/>
        <v>2670.28</v>
      </c>
      <c r="N376" s="44">
        <f t="shared" si="24"/>
        <v>7329.7199999999993</v>
      </c>
      <c r="O376" s="88" t="s">
        <v>19</v>
      </c>
    </row>
    <row r="377" spans="1:15" s="91" customFormat="1" x14ac:dyDescent="0.25">
      <c r="A377" s="87"/>
      <c r="B377" s="88">
        <f t="shared" si="22"/>
        <v>373</v>
      </c>
      <c r="C377" s="89" t="s">
        <v>446</v>
      </c>
      <c r="D377" s="90" t="s">
        <v>356</v>
      </c>
      <c r="E377" s="89" t="s">
        <v>25</v>
      </c>
      <c r="F377" s="90" t="s">
        <v>360</v>
      </c>
      <c r="G377" s="43">
        <v>15000</v>
      </c>
      <c r="H377" s="43">
        <v>15000</v>
      </c>
      <c r="I377" s="43">
        <v>430.5</v>
      </c>
      <c r="J377" s="43">
        <v>0</v>
      </c>
      <c r="K377" s="43">
        <v>456</v>
      </c>
      <c r="L377" s="43">
        <v>1031.21</v>
      </c>
      <c r="M377" s="44">
        <f>+L377+K377+I377</f>
        <v>1917.71</v>
      </c>
      <c r="N377" s="44">
        <f t="shared" si="24"/>
        <v>13082.29</v>
      </c>
      <c r="O377" s="88" t="s">
        <v>19</v>
      </c>
    </row>
    <row r="378" spans="1:15" s="91" customFormat="1" x14ac:dyDescent="0.25">
      <c r="A378" s="87"/>
      <c r="B378" s="88">
        <f t="shared" si="22"/>
        <v>374</v>
      </c>
      <c r="C378" s="89" t="s">
        <v>447</v>
      </c>
      <c r="D378" s="90" t="s">
        <v>356</v>
      </c>
      <c r="E378" s="89" t="s">
        <v>25</v>
      </c>
      <c r="F378" s="90" t="s">
        <v>360</v>
      </c>
      <c r="G378" s="43">
        <v>15000</v>
      </c>
      <c r="H378" s="43">
        <v>15000</v>
      </c>
      <c r="I378" s="43">
        <v>430.5</v>
      </c>
      <c r="J378" s="43">
        <v>0</v>
      </c>
      <c r="K378" s="43">
        <v>456</v>
      </c>
      <c r="L378" s="43">
        <v>31.21</v>
      </c>
      <c r="M378" s="44">
        <f t="shared" si="23"/>
        <v>917.71</v>
      </c>
      <c r="N378" s="44">
        <f t="shared" si="24"/>
        <v>14082.29</v>
      </c>
      <c r="O378" s="88" t="s">
        <v>19</v>
      </c>
    </row>
    <row r="379" spans="1:15" s="91" customFormat="1" x14ac:dyDescent="0.25">
      <c r="A379" s="87"/>
      <c r="B379" s="88">
        <f t="shared" si="22"/>
        <v>375</v>
      </c>
      <c r="C379" s="89" t="s">
        <v>448</v>
      </c>
      <c r="D379" s="90" t="s">
        <v>356</v>
      </c>
      <c r="E379" s="89" t="s">
        <v>25</v>
      </c>
      <c r="F379" s="90" t="s">
        <v>360</v>
      </c>
      <c r="G379" s="43">
        <v>15000</v>
      </c>
      <c r="H379" s="43">
        <v>15000</v>
      </c>
      <c r="I379" s="43">
        <v>430.5</v>
      </c>
      <c r="J379" s="43">
        <v>0</v>
      </c>
      <c r="K379" s="43">
        <v>456</v>
      </c>
      <c r="L379" s="43">
        <v>31.21</v>
      </c>
      <c r="M379" s="44">
        <f t="shared" si="23"/>
        <v>917.71</v>
      </c>
      <c r="N379" s="44">
        <f t="shared" si="24"/>
        <v>14082.29</v>
      </c>
      <c r="O379" s="88" t="s">
        <v>19</v>
      </c>
    </row>
    <row r="380" spans="1:15" s="91" customFormat="1" x14ac:dyDescent="0.25">
      <c r="A380" s="87"/>
      <c r="B380" s="88">
        <f t="shared" si="22"/>
        <v>376</v>
      </c>
      <c r="C380" s="89" t="s">
        <v>449</v>
      </c>
      <c r="D380" s="90" t="s">
        <v>356</v>
      </c>
      <c r="E380" s="89" t="s">
        <v>25</v>
      </c>
      <c r="F380" s="90" t="s">
        <v>360</v>
      </c>
      <c r="G380" s="43">
        <v>15000</v>
      </c>
      <c r="H380" s="43">
        <v>15000</v>
      </c>
      <c r="I380" s="43">
        <v>430.5</v>
      </c>
      <c r="J380" s="43">
        <v>0</v>
      </c>
      <c r="K380" s="43">
        <v>456</v>
      </c>
      <c r="L380" s="43">
        <v>31.21</v>
      </c>
      <c r="M380" s="44">
        <f t="shared" si="23"/>
        <v>917.71</v>
      </c>
      <c r="N380" s="44">
        <f t="shared" si="24"/>
        <v>14082.29</v>
      </c>
      <c r="O380" s="88" t="s">
        <v>19</v>
      </c>
    </row>
    <row r="381" spans="1:15" s="91" customFormat="1" x14ac:dyDescent="0.25">
      <c r="A381" s="87"/>
      <c r="B381" s="88">
        <f t="shared" si="22"/>
        <v>377</v>
      </c>
      <c r="C381" s="89" t="s">
        <v>450</v>
      </c>
      <c r="D381" s="90" t="s">
        <v>356</v>
      </c>
      <c r="E381" s="89" t="s">
        <v>25</v>
      </c>
      <c r="F381" s="90" t="s">
        <v>360</v>
      </c>
      <c r="G381" s="43">
        <v>10000</v>
      </c>
      <c r="H381" s="43">
        <v>10000</v>
      </c>
      <c r="I381" s="43">
        <v>287</v>
      </c>
      <c r="J381" s="43">
        <v>0</v>
      </c>
      <c r="K381" s="43">
        <v>304</v>
      </c>
      <c r="L381" s="43">
        <v>27.21</v>
      </c>
      <c r="M381" s="44">
        <f t="shared" si="23"/>
        <v>618.21</v>
      </c>
      <c r="N381" s="44">
        <f t="shared" si="24"/>
        <v>9381.7900000000009</v>
      </c>
      <c r="O381" s="88" t="s">
        <v>19</v>
      </c>
    </row>
    <row r="382" spans="1:15" s="91" customFormat="1" x14ac:dyDescent="0.25">
      <c r="A382" s="87"/>
      <c r="B382" s="88">
        <f t="shared" si="22"/>
        <v>378</v>
      </c>
      <c r="C382" s="89" t="s">
        <v>451</v>
      </c>
      <c r="D382" s="90" t="s">
        <v>356</v>
      </c>
      <c r="E382" s="89" t="s">
        <v>25</v>
      </c>
      <c r="F382" s="90" t="s">
        <v>360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v>29.21</v>
      </c>
      <c r="M382" s="44">
        <f t="shared" si="23"/>
        <v>915.71</v>
      </c>
      <c r="N382" s="44">
        <f t="shared" si="24"/>
        <v>14084.29</v>
      </c>
      <c r="O382" s="88" t="s">
        <v>19</v>
      </c>
    </row>
    <row r="383" spans="1:15" s="91" customFormat="1" x14ac:dyDescent="0.25">
      <c r="A383" s="87"/>
      <c r="B383" s="88">
        <f t="shared" si="22"/>
        <v>379</v>
      </c>
      <c r="C383" s="89" t="s">
        <v>452</v>
      </c>
      <c r="D383" s="90" t="s">
        <v>356</v>
      </c>
      <c r="E383" s="89" t="s">
        <v>25</v>
      </c>
      <c r="F383" s="90" t="s">
        <v>360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v>29.21</v>
      </c>
      <c r="M383" s="44">
        <f t="shared" si="23"/>
        <v>915.71</v>
      </c>
      <c r="N383" s="44">
        <f t="shared" si="24"/>
        <v>14084.29</v>
      </c>
      <c r="O383" s="88" t="s">
        <v>19</v>
      </c>
    </row>
    <row r="384" spans="1:15" s="91" customFormat="1" x14ac:dyDescent="0.25">
      <c r="A384" s="87"/>
      <c r="B384" s="88">
        <f t="shared" si="22"/>
        <v>380</v>
      </c>
      <c r="C384" s="89" t="s">
        <v>453</v>
      </c>
      <c r="D384" s="90" t="s">
        <v>356</v>
      </c>
      <c r="E384" s="89" t="s">
        <v>25</v>
      </c>
      <c r="F384" s="90" t="s">
        <v>360</v>
      </c>
      <c r="G384" s="43">
        <v>15000</v>
      </c>
      <c r="H384" s="43">
        <v>15000</v>
      </c>
      <c r="I384" s="43">
        <v>430.5</v>
      </c>
      <c r="J384" s="43">
        <v>0</v>
      </c>
      <c r="K384" s="43">
        <v>456</v>
      </c>
      <c r="L384" s="43">
        <f>4448.26+500</f>
        <v>4948.26</v>
      </c>
      <c r="M384" s="44">
        <f t="shared" si="23"/>
        <v>5834.76</v>
      </c>
      <c r="N384" s="44">
        <f t="shared" si="24"/>
        <v>9165.24</v>
      </c>
      <c r="O384" s="88" t="s">
        <v>19</v>
      </c>
    </row>
    <row r="385" spans="1:15" s="91" customFormat="1" x14ac:dyDescent="0.25">
      <c r="A385" s="87"/>
      <c r="B385" s="88">
        <f t="shared" ref="B385:B447" si="25">+B384+1</f>
        <v>381</v>
      </c>
      <c r="C385" s="89" t="s">
        <v>454</v>
      </c>
      <c r="D385" s="90" t="s">
        <v>356</v>
      </c>
      <c r="E385" s="89" t="s">
        <v>25</v>
      </c>
      <c r="F385" s="90" t="s">
        <v>360</v>
      </c>
      <c r="G385" s="43">
        <v>15000</v>
      </c>
      <c r="H385" s="43">
        <v>15000</v>
      </c>
      <c r="I385" s="43">
        <v>430.5</v>
      </c>
      <c r="J385" s="43">
        <v>0</v>
      </c>
      <c r="K385" s="43">
        <v>456</v>
      </c>
      <c r="L385" s="43">
        <f>27.21+1000+2937.79</f>
        <v>3965</v>
      </c>
      <c r="M385" s="44">
        <f t="shared" si="23"/>
        <v>4851.5</v>
      </c>
      <c r="N385" s="44">
        <f t="shared" si="24"/>
        <v>10148.5</v>
      </c>
      <c r="O385" s="88" t="s">
        <v>19</v>
      </c>
    </row>
    <row r="386" spans="1:15" s="91" customFormat="1" x14ac:dyDescent="0.25">
      <c r="A386" s="87"/>
      <c r="B386" s="88">
        <f t="shared" si="25"/>
        <v>382</v>
      </c>
      <c r="C386" s="89" t="s">
        <v>455</v>
      </c>
      <c r="D386" s="90" t="s">
        <v>356</v>
      </c>
      <c r="E386" s="89" t="s">
        <v>25</v>
      </c>
      <c r="F386" s="90" t="s">
        <v>362</v>
      </c>
      <c r="G386" s="43">
        <v>15000</v>
      </c>
      <c r="H386" s="43">
        <v>15000</v>
      </c>
      <c r="I386" s="43">
        <v>430.5</v>
      </c>
      <c r="J386" s="43">
        <v>0</v>
      </c>
      <c r="K386" s="43">
        <v>456</v>
      </c>
      <c r="L386" s="43">
        <v>2846.67</v>
      </c>
      <c r="M386" s="44">
        <f t="shared" si="23"/>
        <v>3733.17</v>
      </c>
      <c r="N386" s="44">
        <f t="shared" si="24"/>
        <v>11266.83</v>
      </c>
      <c r="O386" s="88" t="s">
        <v>19</v>
      </c>
    </row>
    <row r="387" spans="1:15" s="91" customFormat="1" x14ac:dyDescent="0.25">
      <c r="A387" s="87"/>
      <c r="B387" s="88">
        <f t="shared" si="25"/>
        <v>383</v>
      </c>
      <c r="C387" s="89" t="s">
        <v>456</v>
      </c>
      <c r="D387" s="90" t="s">
        <v>356</v>
      </c>
      <c r="E387" s="89" t="s">
        <v>25</v>
      </c>
      <c r="F387" s="90" t="s">
        <v>362</v>
      </c>
      <c r="G387" s="43">
        <v>10000</v>
      </c>
      <c r="H387" s="43">
        <v>10000</v>
      </c>
      <c r="I387" s="43">
        <v>287</v>
      </c>
      <c r="J387" s="43">
        <v>0</v>
      </c>
      <c r="K387" s="43">
        <v>304</v>
      </c>
      <c r="L387" s="43">
        <v>2079.2800000000002</v>
      </c>
      <c r="M387" s="44">
        <f t="shared" si="23"/>
        <v>2670.28</v>
      </c>
      <c r="N387" s="44">
        <f t="shared" si="24"/>
        <v>7329.7199999999993</v>
      </c>
      <c r="O387" s="88" t="s">
        <v>19</v>
      </c>
    </row>
    <row r="388" spans="1:15" s="91" customFormat="1" x14ac:dyDescent="0.25">
      <c r="A388" s="87"/>
      <c r="B388" s="88">
        <f t="shared" si="25"/>
        <v>384</v>
      </c>
      <c r="C388" s="89" t="s">
        <v>457</v>
      </c>
      <c r="D388" s="90" t="s">
        <v>356</v>
      </c>
      <c r="E388" s="89" t="s">
        <v>25</v>
      </c>
      <c r="F388" s="90" t="s">
        <v>360</v>
      </c>
      <c r="G388" s="43">
        <v>10000</v>
      </c>
      <c r="H388" s="43">
        <v>10000</v>
      </c>
      <c r="I388" s="43">
        <v>287</v>
      </c>
      <c r="J388" s="43">
        <v>0</v>
      </c>
      <c r="K388" s="43">
        <v>304</v>
      </c>
      <c r="L388" s="43">
        <f>1039.64+31.21+300+1571.41</f>
        <v>2942.26</v>
      </c>
      <c r="M388" s="44">
        <f t="shared" si="23"/>
        <v>3533.26</v>
      </c>
      <c r="N388" s="44">
        <f t="shared" si="24"/>
        <v>6466.74</v>
      </c>
      <c r="O388" s="88" t="s">
        <v>19</v>
      </c>
    </row>
    <row r="389" spans="1:15" s="91" customFormat="1" x14ac:dyDescent="0.25">
      <c r="A389" s="87"/>
      <c r="B389" s="88">
        <f t="shared" si="25"/>
        <v>385</v>
      </c>
      <c r="C389" s="89" t="s">
        <v>458</v>
      </c>
      <c r="D389" s="90" t="s">
        <v>356</v>
      </c>
      <c r="E389" s="89" t="s">
        <v>25</v>
      </c>
      <c r="F389" s="90" t="s">
        <v>360</v>
      </c>
      <c r="G389" s="43">
        <v>15000</v>
      </c>
      <c r="H389" s="43">
        <v>15000</v>
      </c>
      <c r="I389" s="43">
        <v>430.5</v>
      </c>
      <c r="J389" s="43">
        <v>0</v>
      </c>
      <c r="K389" s="43">
        <v>456</v>
      </c>
      <c r="L389" s="43">
        <v>31.21</v>
      </c>
      <c r="M389" s="44">
        <f t="shared" si="23"/>
        <v>917.71</v>
      </c>
      <c r="N389" s="44">
        <f t="shared" si="24"/>
        <v>14082.29</v>
      </c>
      <c r="O389" s="88" t="s">
        <v>19</v>
      </c>
    </row>
    <row r="390" spans="1:15" s="91" customFormat="1" x14ac:dyDescent="0.25">
      <c r="A390" s="87"/>
      <c r="B390" s="88">
        <f t="shared" si="25"/>
        <v>386</v>
      </c>
      <c r="C390" s="89" t="s">
        <v>459</v>
      </c>
      <c r="D390" s="90" t="s">
        <v>356</v>
      </c>
      <c r="E390" s="89" t="s">
        <v>25</v>
      </c>
      <c r="F390" s="90" t="s">
        <v>362</v>
      </c>
      <c r="G390" s="43">
        <v>15000</v>
      </c>
      <c r="H390" s="43">
        <v>15000</v>
      </c>
      <c r="I390" s="43">
        <v>430.5</v>
      </c>
      <c r="J390" s="43">
        <v>0</v>
      </c>
      <c r="K390" s="43">
        <v>456</v>
      </c>
      <c r="L390" s="43">
        <v>31.21</v>
      </c>
      <c r="M390" s="44">
        <f t="shared" si="23"/>
        <v>917.71</v>
      </c>
      <c r="N390" s="44">
        <f t="shared" si="24"/>
        <v>14082.29</v>
      </c>
      <c r="O390" s="88" t="s">
        <v>19</v>
      </c>
    </row>
    <row r="391" spans="1:15" s="91" customFormat="1" x14ac:dyDescent="0.25">
      <c r="A391" s="87"/>
      <c r="B391" s="88">
        <f t="shared" si="25"/>
        <v>387</v>
      </c>
      <c r="C391" s="89" t="s">
        <v>460</v>
      </c>
      <c r="D391" s="90" t="s">
        <v>356</v>
      </c>
      <c r="E391" s="89" t="s">
        <v>25</v>
      </c>
      <c r="F391" s="90" t="s">
        <v>357</v>
      </c>
      <c r="G391" s="43">
        <v>15000</v>
      </c>
      <c r="H391" s="43">
        <v>15000</v>
      </c>
      <c r="I391" s="43">
        <v>430.5</v>
      </c>
      <c r="J391" s="43">
        <v>0</v>
      </c>
      <c r="K391" s="43">
        <v>456</v>
      </c>
      <c r="L391" s="43">
        <v>1746.67</v>
      </c>
      <c r="M391" s="44">
        <f t="shared" si="23"/>
        <v>2633.17</v>
      </c>
      <c r="N391" s="44">
        <f t="shared" si="24"/>
        <v>12366.83</v>
      </c>
      <c r="O391" s="88" t="s">
        <v>19</v>
      </c>
    </row>
    <row r="392" spans="1:15" s="91" customFormat="1" x14ac:dyDescent="0.25">
      <c r="A392" s="87"/>
      <c r="B392" s="88">
        <f t="shared" si="25"/>
        <v>388</v>
      </c>
      <c r="C392" s="89" t="s">
        <v>461</v>
      </c>
      <c r="D392" s="90" t="s">
        <v>356</v>
      </c>
      <c r="E392" s="89" t="s">
        <v>25</v>
      </c>
      <c r="F392" s="90" t="s">
        <v>360</v>
      </c>
      <c r="G392" s="43">
        <v>15000</v>
      </c>
      <c r="H392" s="43">
        <v>15000</v>
      </c>
      <c r="I392" s="43">
        <v>430.5</v>
      </c>
      <c r="J392" s="43">
        <v>0</v>
      </c>
      <c r="K392" s="43">
        <v>456</v>
      </c>
      <c r="L392" s="43">
        <f>1892.17-1360.96</f>
        <v>531.21</v>
      </c>
      <c r="M392" s="44">
        <f t="shared" si="23"/>
        <v>1417.71</v>
      </c>
      <c r="N392" s="44">
        <f t="shared" si="24"/>
        <v>13582.29</v>
      </c>
      <c r="O392" s="88" t="s">
        <v>19</v>
      </c>
    </row>
    <row r="393" spans="1:15" s="91" customFormat="1" x14ac:dyDescent="0.25">
      <c r="A393" s="87"/>
      <c r="B393" s="88">
        <f t="shared" si="25"/>
        <v>389</v>
      </c>
      <c r="C393" s="89" t="s">
        <v>462</v>
      </c>
      <c r="D393" s="90" t="s">
        <v>356</v>
      </c>
      <c r="E393" s="89" t="s">
        <v>25</v>
      </c>
      <c r="F393" s="90" t="s">
        <v>357</v>
      </c>
      <c r="G393" s="43">
        <v>15000</v>
      </c>
      <c r="H393" s="43">
        <v>15000</v>
      </c>
      <c r="I393" s="43">
        <v>430.5</v>
      </c>
      <c r="J393" s="43">
        <v>0</v>
      </c>
      <c r="K393" s="43">
        <v>456</v>
      </c>
      <c r="L393" s="43">
        <v>5804.74</v>
      </c>
      <c r="M393" s="44">
        <f t="shared" si="23"/>
        <v>6691.24</v>
      </c>
      <c r="N393" s="44">
        <f t="shared" si="24"/>
        <v>8308.76</v>
      </c>
      <c r="O393" s="88" t="s">
        <v>19</v>
      </c>
    </row>
    <row r="394" spans="1:15" s="91" customFormat="1" x14ac:dyDescent="0.25">
      <c r="A394" s="87"/>
      <c r="B394" s="88">
        <f t="shared" si="25"/>
        <v>390</v>
      </c>
      <c r="C394" s="89" t="s">
        <v>463</v>
      </c>
      <c r="D394" s="90" t="s">
        <v>356</v>
      </c>
      <c r="E394" s="89" t="s">
        <v>25</v>
      </c>
      <c r="F394" s="90" t="s">
        <v>360</v>
      </c>
      <c r="G394" s="43">
        <v>15000</v>
      </c>
      <c r="H394" s="43">
        <v>15000</v>
      </c>
      <c r="I394" s="43">
        <v>430.5</v>
      </c>
      <c r="J394" s="43">
        <v>0</v>
      </c>
      <c r="K394" s="43">
        <v>456</v>
      </c>
      <c r="L394" s="43">
        <v>31.21</v>
      </c>
      <c r="M394" s="44">
        <f t="shared" si="23"/>
        <v>917.71</v>
      </c>
      <c r="N394" s="44">
        <f t="shared" si="24"/>
        <v>14082.29</v>
      </c>
      <c r="O394" s="88" t="s">
        <v>19</v>
      </c>
    </row>
    <row r="395" spans="1:15" s="91" customFormat="1" x14ac:dyDescent="0.25">
      <c r="A395" s="87"/>
      <c r="B395" s="88">
        <f t="shared" si="25"/>
        <v>391</v>
      </c>
      <c r="C395" s="89" t="s">
        <v>464</v>
      </c>
      <c r="D395" s="90" t="s">
        <v>356</v>
      </c>
      <c r="E395" s="89" t="s">
        <v>25</v>
      </c>
      <c r="F395" s="90" t="s">
        <v>357</v>
      </c>
      <c r="G395" s="43">
        <v>13200</v>
      </c>
      <c r="H395" s="43">
        <v>13200</v>
      </c>
      <c r="I395" s="43">
        <v>378.84</v>
      </c>
      <c r="J395" s="43">
        <v>0</v>
      </c>
      <c r="K395" s="43">
        <v>401.28</v>
      </c>
      <c r="L395" s="43">
        <v>31.21</v>
      </c>
      <c r="M395" s="44">
        <f t="shared" si="23"/>
        <v>811.32999999999993</v>
      </c>
      <c r="N395" s="44">
        <f t="shared" si="24"/>
        <v>12388.67</v>
      </c>
      <c r="O395" s="88" t="s">
        <v>19</v>
      </c>
    </row>
    <row r="396" spans="1:15" s="91" customFormat="1" x14ac:dyDescent="0.25">
      <c r="A396" s="87"/>
      <c r="B396" s="88">
        <f t="shared" si="25"/>
        <v>392</v>
      </c>
      <c r="C396" s="89" t="s">
        <v>465</v>
      </c>
      <c r="D396" s="90" t="s">
        <v>356</v>
      </c>
      <c r="E396" s="89" t="s">
        <v>25</v>
      </c>
      <c r="F396" s="90" t="s">
        <v>360</v>
      </c>
      <c r="G396" s="43">
        <v>10000</v>
      </c>
      <c r="H396" s="43">
        <v>10000</v>
      </c>
      <c r="I396" s="43">
        <v>287</v>
      </c>
      <c r="J396" s="43">
        <v>0</v>
      </c>
      <c r="K396" s="43">
        <v>304</v>
      </c>
      <c r="L396" s="43">
        <v>27.21</v>
      </c>
      <c r="M396" s="44">
        <f t="shared" si="23"/>
        <v>618.21</v>
      </c>
      <c r="N396" s="44">
        <f t="shared" si="24"/>
        <v>9381.7900000000009</v>
      </c>
      <c r="O396" s="88" t="s">
        <v>19</v>
      </c>
    </row>
    <row r="397" spans="1:15" s="91" customFormat="1" x14ac:dyDescent="0.25">
      <c r="A397" s="87"/>
      <c r="B397" s="88">
        <f t="shared" si="25"/>
        <v>393</v>
      </c>
      <c r="C397" s="89" t="s">
        <v>466</v>
      </c>
      <c r="D397" s="90" t="s">
        <v>356</v>
      </c>
      <c r="E397" s="89" t="s">
        <v>25</v>
      </c>
      <c r="F397" s="90" t="s">
        <v>360</v>
      </c>
      <c r="G397" s="43">
        <v>13000</v>
      </c>
      <c r="H397" s="43">
        <v>13000</v>
      </c>
      <c r="I397" s="43">
        <v>373.1</v>
      </c>
      <c r="J397" s="43">
        <v>0</v>
      </c>
      <c r="K397" s="43">
        <v>395.2</v>
      </c>
      <c r="L397" s="43">
        <v>31.21</v>
      </c>
      <c r="M397" s="44">
        <f t="shared" si="23"/>
        <v>799.51</v>
      </c>
      <c r="N397" s="44">
        <f t="shared" si="24"/>
        <v>12200.49</v>
      </c>
      <c r="O397" s="88" t="s">
        <v>19</v>
      </c>
    </row>
    <row r="398" spans="1:15" s="91" customFormat="1" x14ac:dyDescent="0.25">
      <c r="A398" s="87"/>
      <c r="B398" s="88">
        <f t="shared" si="25"/>
        <v>394</v>
      </c>
      <c r="C398" s="89" t="s">
        <v>467</v>
      </c>
      <c r="D398" s="90" t="s">
        <v>356</v>
      </c>
      <c r="E398" s="89" t="s">
        <v>21</v>
      </c>
      <c r="F398" s="90" t="s">
        <v>375</v>
      </c>
      <c r="G398" s="43">
        <v>25900.35</v>
      </c>
      <c r="H398" s="43">
        <v>25900.35</v>
      </c>
      <c r="I398" s="43">
        <v>743.34</v>
      </c>
      <c r="J398" s="43">
        <v>0</v>
      </c>
      <c r="K398" s="43">
        <v>787.37</v>
      </c>
      <c r="L398" s="43">
        <f>6861.84+31.21</f>
        <v>6893.05</v>
      </c>
      <c r="M398" s="44">
        <f>+L398+K398+I398</f>
        <v>8423.76</v>
      </c>
      <c r="N398" s="44">
        <f>+G398-M398</f>
        <v>17476.589999999997</v>
      </c>
      <c r="O398" s="88" t="s">
        <v>23</v>
      </c>
    </row>
    <row r="399" spans="1:15" s="91" customFormat="1" x14ac:dyDescent="0.25">
      <c r="A399" s="87"/>
      <c r="B399" s="88">
        <f t="shared" si="25"/>
        <v>395</v>
      </c>
      <c r="C399" s="89" t="s">
        <v>468</v>
      </c>
      <c r="D399" s="90" t="s">
        <v>356</v>
      </c>
      <c r="E399" s="89" t="s">
        <v>21</v>
      </c>
      <c r="F399" s="90" t="s">
        <v>375</v>
      </c>
      <c r="G399" s="43">
        <v>45000</v>
      </c>
      <c r="H399" s="43">
        <v>45000</v>
      </c>
      <c r="I399" s="43">
        <v>1291.5</v>
      </c>
      <c r="J399" s="43">
        <v>633.69000000000005</v>
      </c>
      <c r="K399" s="43">
        <v>1368</v>
      </c>
      <c r="L399" s="43">
        <v>3462.13</v>
      </c>
      <c r="M399" s="44">
        <f t="shared" si="23"/>
        <v>6755.32</v>
      </c>
      <c r="N399" s="44">
        <f t="shared" si="24"/>
        <v>38244.68</v>
      </c>
      <c r="O399" s="88" t="s">
        <v>19</v>
      </c>
    </row>
    <row r="400" spans="1:15" s="91" customFormat="1" x14ac:dyDescent="0.25">
      <c r="A400" s="87"/>
      <c r="B400" s="88">
        <f t="shared" si="25"/>
        <v>396</v>
      </c>
      <c r="C400" s="89" t="s">
        <v>469</v>
      </c>
      <c r="D400" s="90" t="s">
        <v>356</v>
      </c>
      <c r="E400" s="89" t="s">
        <v>21</v>
      </c>
      <c r="F400" s="90" t="s">
        <v>375</v>
      </c>
      <c r="G400" s="43">
        <v>55000</v>
      </c>
      <c r="H400" s="43">
        <v>55000</v>
      </c>
      <c r="I400" s="43">
        <v>1578.5</v>
      </c>
      <c r="J400" s="43">
        <v>2559.6799999999998</v>
      </c>
      <c r="K400" s="43">
        <v>1672</v>
      </c>
      <c r="L400" s="43">
        <f>5771.57+31.21</f>
        <v>5802.78</v>
      </c>
      <c r="M400" s="44">
        <f>+L400+K400+J400+I400</f>
        <v>11612.96</v>
      </c>
      <c r="N400" s="44">
        <f>+G400-M400</f>
        <v>43387.040000000001</v>
      </c>
      <c r="O400" s="88" t="s">
        <v>19</v>
      </c>
    </row>
    <row r="401" spans="1:15" s="91" customFormat="1" x14ac:dyDescent="0.25">
      <c r="A401" s="87"/>
      <c r="B401" s="88">
        <f t="shared" si="25"/>
        <v>397</v>
      </c>
      <c r="C401" s="89" t="s">
        <v>470</v>
      </c>
      <c r="D401" s="90" t="s">
        <v>356</v>
      </c>
      <c r="E401" s="89" t="s">
        <v>25</v>
      </c>
      <c r="F401" s="90" t="s">
        <v>471</v>
      </c>
      <c r="G401" s="43">
        <v>15000</v>
      </c>
      <c r="H401" s="43">
        <v>15000</v>
      </c>
      <c r="I401" s="43">
        <v>430.5</v>
      </c>
      <c r="J401" s="43">
        <v>0</v>
      </c>
      <c r="K401" s="43">
        <v>456</v>
      </c>
      <c r="L401" s="43">
        <v>27.21</v>
      </c>
      <c r="M401" s="44">
        <f t="shared" si="23"/>
        <v>913.71</v>
      </c>
      <c r="N401" s="44">
        <f t="shared" si="24"/>
        <v>14086.29</v>
      </c>
      <c r="O401" s="88" t="s">
        <v>19</v>
      </c>
    </row>
    <row r="402" spans="1:15" s="91" customFormat="1" x14ac:dyDescent="0.25">
      <c r="A402" s="87"/>
      <c r="B402" s="88">
        <f t="shared" si="25"/>
        <v>398</v>
      </c>
      <c r="C402" s="89" t="s">
        <v>472</v>
      </c>
      <c r="D402" s="90" t="s">
        <v>356</v>
      </c>
      <c r="E402" s="89" t="s">
        <v>25</v>
      </c>
      <c r="F402" s="90" t="s">
        <v>360</v>
      </c>
      <c r="G402" s="43">
        <v>13000</v>
      </c>
      <c r="H402" s="43">
        <v>13000</v>
      </c>
      <c r="I402" s="43">
        <v>373.1</v>
      </c>
      <c r="J402" s="43">
        <v>0</v>
      </c>
      <c r="K402" s="43">
        <v>395.2</v>
      </c>
      <c r="L402" s="43">
        <v>31.21</v>
      </c>
      <c r="M402" s="44">
        <f t="shared" si="23"/>
        <v>799.51</v>
      </c>
      <c r="N402" s="44">
        <f t="shared" si="24"/>
        <v>12200.49</v>
      </c>
      <c r="O402" s="88" t="s">
        <v>19</v>
      </c>
    </row>
    <row r="403" spans="1:15" s="91" customFormat="1" x14ac:dyDescent="0.25">
      <c r="A403" s="87"/>
      <c r="B403" s="88">
        <f t="shared" si="25"/>
        <v>399</v>
      </c>
      <c r="C403" s="89" t="s">
        <v>473</v>
      </c>
      <c r="D403" s="90" t="s">
        <v>356</v>
      </c>
      <c r="E403" s="89" t="s">
        <v>25</v>
      </c>
      <c r="F403" s="90" t="s">
        <v>360</v>
      </c>
      <c r="G403" s="43">
        <v>15000</v>
      </c>
      <c r="H403" s="43">
        <v>15000</v>
      </c>
      <c r="I403" s="43">
        <v>430.5</v>
      </c>
      <c r="J403" s="43">
        <v>0</v>
      </c>
      <c r="K403" s="43">
        <v>456</v>
      </c>
      <c r="L403" s="43">
        <f>31.21+500+1885.69+2637.48</f>
        <v>5054.38</v>
      </c>
      <c r="M403" s="44">
        <f t="shared" si="23"/>
        <v>5940.88</v>
      </c>
      <c r="N403" s="44">
        <f t="shared" si="24"/>
        <v>9059.119999999999</v>
      </c>
      <c r="O403" s="88" t="s">
        <v>19</v>
      </c>
    </row>
    <row r="404" spans="1:15" s="91" customFormat="1" x14ac:dyDescent="0.25">
      <c r="A404" s="87"/>
      <c r="B404" s="88">
        <f t="shared" si="25"/>
        <v>400</v>
      </c>
      <c r="C404" s="89" t="s">
        <v>474</v>
      </c>
      <c r="D404" s="90" t="s">
        <v>356</v>
      </c>
      <c r="E404" s="89" t="s">
        <v>25</v>
      </c>
      <c r="F404" s="90" t="s">
        <v>360</v>
      </c>
      <c r="G404" s="43">
        <v>10000</v>
      </c>
      <c r="H404" s="43">
        <v>10000</v>
      </c>
      <c r="I404" s="43">
        <v>287</v>
      </c>
      <c r="J404" s="43">
        <v>0</v>
      </c>
      <c r="K404" s="43">
        <v>304</v>
      </c>
      <c r="L404" s="43">
        <f>4958.72+31.21</f>
        <v>4989.93</v>
      </c>
      <c r="M404" s="44">
        <f t="shared" si="23"/>
        <v>5580.93</v>
      </c>
      <c r="N404" s="44">
        <f t="shared" si="24"/>
        <v>4419.07</v>
      </c>
      <c r="O404" s="88" t="s">
        <v>19</v>
      </c>
    </row>
    <row r="405" spans="1:15" s="91" customFormat="1" x14ac:dyDescent="0.25">
      <c r="A405" s="87"/>
      <c r="B405" s="88">
        <f t="shared" si="25"/>
        <v>401</v>
      </c>
      <c r="C405" s="89" t="s">
        <v>475</v>
      </c>
      <c r="D405" s="90" t="s">
        <v>356</v>
      </c>
      <c r="E405" s="89" t="s">
        <v>25</v>
      </c>
      <c r="F405" s="90" t="s">
        <v>360</v>
      </c>
      <c r="G405" s="43">
        <v>10000</v>
      </c>
      <c r="H405" s="43">
        <v>10000</v>
      </c>
      <c r="I405" s="43">
        <v>287</v>
      </c>
      <c r="J405" s="43">
        <v>0</v>
      </c>
      <c r="K405" s="43">
        <v>304</v>
      </c>
      <c r="L405" s="43">
        <v>31.21</v>
      </c>
      <c r="M405" s="44">
        <f t="shared" si="23"/>
        <v>622.21</v>
      </c>
      <c r="N405" s="44">
        <f t="shared" si="24"/>
        <v>9377.7900000000009</v>
      </c>
      <c r="O405" s="88" t="s">
        <v>19</v>
      </c>
    </row>
    <row r="406" spans="1:15" s="91" customFormat="1" x14ac:dyDescent="0.25">
      <c r="A406" s="87"/>
      <c r="B406" s="88">
        <f t="shared" si="25"/>
        <v>402</v>
      </c>
      <c r="C406" s="89" t="s">
        <v>476</v>
      </c>
      <c r="D406" s="90" t="s">
        <v>356</v>
      </c>
      <c r="E406" s="89" t="s">
        <v>25</v>
      </c>
      <c r="F406" s="90" t="s">
        <v>357</v>
      </c>
      <c r="G406" s="43">
        <v>15000</v>
      </c>
      <c r="H406" s="43">
        <v>15000</v>
      </c>
      <c r="I406" s="43">
        <v>430.5</v>
      </c>
      <c r="J406" s="43">
        <v>0</v>
      </c>
      <c r="K406" s="43">
        <v>456</v>
      </c>
      <c r="L406" s="43">
        <v>31.21</v>
      </c>
      <c r="M406" s="44">
        <f t="shared" si="23"/>
        <v>917.71</v>
      </c>
      <c r="N406" s="44">
        <f t="shared" si="24"/>
        <v>14082.29</v>
      </c>
      <c r="O406" s="88" t="s">
        <v>19</v>
      </c>
    </row>
    <row r="407" spans="1:15" s="91" customFormat="1" x14ac:dyDescent="0.25">
      <c r="A407" s="87"/>
      <c r="B407" s="88">
        <f t="shared" si="25"/>
        <v>403</v>
      </c>
      <c r="C407" s="89" t="s">
        <v>477</v>
      </c>
      <c r="D407" s="90" t="s">
        <v>356</v>
      </c>
      <c r="E407" s="89" t="s">
        <v>25</v>
      </c>
      <c r="F407" s="90" t="s">
        <v>357</v>
      </c>
      <c r="G407" s="43">
        <v>10000</v>
      </c>
      <c r="H407" s="43">
        <v>10000</v>
      </c>
      <c r="I407" s="43">
        <v>287</v>
      </c>
      <c r="J407" s="43">
        <v>0</v>
      </c>
      <c r="K407" s="43">
        <v>304</v>
      </c>
      <c r="L407" s="43">
        <v>31.21</v>
      </c>
      <c r="M407" s="44">
        <f t="shared" si="23"/>
        <v>622.21</v>
      </c>
      <c r="N407" s="44">
        <f t="shared" si="24"/>
        <v>9377.7900000000009</v>
      </c>
      <c r="O407" s="88" t="s">
        <v>19</v>
      </c>
    </row>
    <row r="408" spans="1:15" s="91" customFormat="1" x14ac:dyDescent="0.25">
      <c r="A408" s="87"/>
      <c r="B408" s="88">
        <f t="shared" si="25"/>
        <v>404</v>
      </c>
      <c r="C408" s="89" t="s">
        <v>478</v>
      </c>
      <c r="D408" s="90" t="s">
        <v>356</v>
      </c>
      <c r="E408" s="89" t="s">
        <v>25</v>
      </c>
      <c r="F408" s="90" t="s">
        <v>360</v>
      </c>
      <c r="G408" s="43">
        <v>10000</v>
      </c>
      <c r="H408" s="43">
        <v>10000</v>
      </c>
      <c r="I408" s="43">
        <v>287</v>
      </c>
      <c r="J408" s="43">
        <v>0</v>
      </c>
      <c r="K408" s="43">
        <v>304</v>
      </c>
      <c r="L408" s="43">
        <v>1746.67</v>
      </c>
      <c r="M408" s="44">
        <f t="shared" si="23"/>
        <v>2337.67</v>
      </c>
      <c r="N408" s="44">
        <f t="shared" si="24"/>
        <v>7662.33</v>
      </c>
      <c r="O408" s="88" t="s">
        <v>19</v>
      </c>
    </row>
    <row r="409" spans="1:15" s="91" customFormat="1" ht="22.5" x14ac:dyDescent="0.25">
      <c r="A409" s="87"/>
      <c r="B409" s="88">
        <f t="shared" si="25"/>
        <v>405</v>
      </c>
      <c r="C409" s="89" t="s">
        <v>479</v>
      </c>
      <c r="D409" s="90" t="s">
        <v>356</v>
      </c>
      <c r="E409" s="89" t="s">
        <v>25</v>
      </c>
      <c r="F409" s="90" t="s">
        <v>373</v>
      </c>
      <c r="G409" s="43">
        <v>12100</v>
      </c>
      <c r="H409" s="43">
        <v>12100</v>
      </c>
      <c r="I409" s="43">
        <v>347.27</v>
      </c>
      <c r="J409" s="43">
        <v>0</v>
      </c>
      <c r="K409" s="43">
        <v>367.84</v>
      </c>
      <c r="L409" s="43">
        <v>29.21</v>
      </c>
      <c r="M409" s="44">
        <f t="shared" si="23"/>
        <v>744.31999999999994</v>
      </c>
      <c r="N409" s="44">
        <f t="shared" si="24"/>
        <v>11355.68</v>
      </c>
      <c r="O409" s="88" t="s">
        <v>19</v>
      </c>
    </row>
    <row r="410" spans="1:15" s="39" customFormat="1" x14ac:dyDescent="0.25">
      <c r="A410" s="12"/>
      <c r="B410" s="81">
        <f t="shared" si="25"/>
        <v>406</v>
      </c>
      <c r="C410" s="82" t="s">
        <v>480</v>
      </c>
      <c r="D410" s="83" t="s">
        <v>356</v>
      </c>
      <c r="E410" s="82" t="s">
        <v>25</v>
      </c>
      <c r="F410" s="83" t="s">
        <v>360</v>
      </c>
      <c r="G410" s="84">
        <v>15000</v>
      </c>
      <c r="H410" s="84">
        <v>15000</v>
      </c>
      <c r="I410" s="84">
        <v>430.5</v>
      </c>
      <c r="J410" s="84">
        <v>0</v>
      </c>
      <c r="K410" s="84">
        <v>456</v>
      </c>
      <c r="L410" s="84">
        <v>1624.71</v>
      </c>
      <c r="M410" s="85">
        <f t="shared" si="23"/>
        <v>2511.21</v>
      </c>
      <c r="N410" s="85">
        <f t="shared" si="24"/>
        <v>12488.79</v>
      </c>
      <c r="O410" s="81" t="s">
        <v>19</v>
      </c>
    </row>
    <row r="411" spans="1:15" s="91" customFormat="1" x14ac:dyDescent="0.25">
      <c r="A411" s="87"/>
      <c r="B411" s="88">
        <f t="shared" si="25"/>
        <v>407</v>
      </c>
      <c r="C411" s="89" t="s">
        <v>481</v>
      </c>
      <c r="D411" s="90" t="s">
        <v>356</v>
      </c>
      <c r="E411" s="89" t="s">
        <v>25</v>
      </c>
      <c r="F411" s="90" t="s">
        <v>362</v>
      </c>
      <c r="G411" s="43">
        <v>20000</v>
      </c>
      <c r="H411" s="43">
        <v>20000</v>
      </c>
      <c r="I411" s="43">
        <v>574</v>
      </c>
      <c r="J411" s="43">
        <v>0</v>
      </c>
      <c r="K411" s="43">
        <v>608</v>
      </c>
      <c r="L411" s="43">
        <f>31.21+1500</f>
        <v>1531.21</v>
      </c>
      <c r="M411" s="44">
        <f t="shared" si="23"/>
        <v>2713.21</v>
      </c>
      <c r="N411" s="44">
        <f t="shared" si="24"/>
        <v>17286.79</v>
      </c>
      <c r="O411" s="88" t="s">
        <v>19</v>
      </c>
    </row>
    <row r="412" spans="1:15" s="91" customFormat="1" x14ac:dyDescent="0.25">
      <c r="A412" s="87"/>
      <c r="B412" s="88">
        <f t="shared" si="25"/>
        <v>408</v>
      </c>
      <c r="C412" s="89" t="s">
        <v>482</v>
      </c>
      <c r="D412" s="90" t="s">
        <v>356</v>
      </c>
      <c r="E412" s="89" t="s">
        <v>25</v>
      </c>
      <c r="F412" s="90" t="s">
        <v>360</v>
      </c>
      <c r="G412" s="43">
        <v>15000</v>
      </c>
      <c r="H412" s="43">
        <v>15000</v>
      </c>
      <c r="I412" s="43">
        <v>430.5</v>
      </c>
      <c r="J412" s="43">
        <v>0</v>
      </c>
      <c r="K412" s="43">
        <v>456</v>
      </c>
      <c r="L412" s="43">
        <v>29.21</v>
      </c>
      <c r="M412" s="44">
        <f t="shared" si="23"/>
        <v>915.71</v>
      </c>
      <c r="N412" s="44">
        <f t="shared" si="24"/>
        <v>14084.29</v>
      </c>
      <c r="O412" s="88" t="s">
        <v>19</v>
      </c>
    </row>
    <row r="413" spans="1:15" s="91" customFormat="1" x14ac:dyDescent="0.25">
      <c r="A413" s="87"/>
      <c r="B413" s="88">
        <f t="shared" si="25"/>
        <v>409</v>
      </c>
      <c r="C413" s="89" t="s">
        <v>483</v>
      </c>
      <c r="D413" s="90" t="s">
        <v>356</v>
      </c>
      <c r="E413" s="89" t="s">
        <v>25</v>
      </c>
      <c r="F413" s="90" t="s">
        <v>360</v>
      </c>
      <c r="G413" s="43">
        <v>10000</v>
      </c>
      <c r="H413" s="43">
        <v>10000</v>
      </c>
      <c r="I413" s="43">
        <v>287</v>
      </c>
      <c r="J413" s="43">
        <v>0</v>
      </c>
      <c r="K413" s="43">
        <v>304</v>
      </c>
      <c r="L413" s="43">
        <f>1039.64+31.21</f>
        <v>1070.8500000000001</v>
      </c>
      <c r="M413" s="44">
        <f t="shared" si="23"/>
        <v>1661.8500000000001</v>
      </c>
      <c r="N413" s="44">
        <f t="shared" si="24"/>
        <v>8338.15</v>
      </c>
      <c r="O413" s="88" t="s">
        <v>19</v>
      </c>
    </row>
    <row r="414" spans="1:15" s="91" customFormat="1" x14ac:dyDescent="0.25">
      <c r="A414" s="87"/>
      <c r="B414" s="88">
        <f t="shared" si="25"/>
        <v>410</v>
      </c>
      <c r="C414" s="89" t="s">
        <v>484</v>
      </c>
      <c r="D414" s="90" t="s">
        <v>356</v>
      </c>
      <c r="E414" s="89" t="s">
        <v>25</v>
      </c>
      <c r="F414" s="90" t="s">
        <v>360</v>
      </c>
      <c r="G414" s="43">
        <v>11000</v>
      </c>
      <c r="H414" s="43">
        <v>11000</v>
      </c>
      <c r="I414" s="43">
        <v>315.7</v>
      </c>
      <c r="J414" s="43">
        <v>0</v>
      </c>
      <c r="K414" s="43">
        <v>334.4</v>
      </c>
      <c r="L414" s="43">
        <v>31.21</v>
      </c>
      <c r="M414" s="44">
        <f t="shared" si="23"/>
        <v>681.31</v>
      </c>
      <c r="N414" s="44">
        <f t="shared" si="24"/>
        <v>10318.69</v>
      </c>
      <c r="O414" s="88" t="s">
        <v>19</v>
      </c>
    </row>
    <row r="415" spans="1:15" s="91" customFormat="1" x14ac:dyDescent="0.25">
      <c r="A415" s="87"/>
      <c r="B415" s="88">
        <f t="shared" si="25"/>
        <v>411</v>
      </c>
      <c r="C415" s="89" t="s">
        <v>485</v>
      </c>
      <c r="D415" s="90" t="s">
        <v>356</v>
      </c>
      <c r="E415" s="89" t="s">
        <v>25</v>
      </c>
      <c r="F415" s="90" t="s">
        <v>360</v>
      </c>
      <c r="G415" s="43">
        <v>11000</v>
      </c>
      <c r="H415" s="43">
        <v>11000</v>
      </c>
      <c r="I415" s="43">
        <v>315.7</v>
      </c>
      <c r="J415" s="43">
        <v>0</v>
      </c>
      <c r="K415" s="43">
        <v>334.4</v>
      </c>
      <c r="L415" s="43">
        <v>29.21</v>
      </c>
      <c r="M415" s="44">
        <f t="shared" si="23"/>
        <v>679.31</v>
      </c>
      <c r="N415" s="44">
        <f t="shared" si="24"/>
        <v>10320.69</v>
      </c>
      <c r="O415" s="88" t="s">
        <v>19</v>
      </c>
    </row>
    <row r="416" spans="1:15" s="91" customFormat="1" x14ac:dyDescent="0.25">
      <c r="A416" s="87"/>
      <c r="B416" s="88">
        <f t="shared" si="25"/>
        <v>412</v>
      </c>
      <c r="C416" s="89" t="s">
        <v>486</v>
      </c>
      <c r="D416" s="90" t="s">
        <v>356</v>
      </c>
      <c r="E416" s="89" t="s">
        <v>25</v>
      </c>
      <c r="F416" s="90" t="s">
        <v>375</v>
      </c>
      <c r="G416" s="43">
        <v>65000</v>
      </c>
      <c r="H416" s="43">
        <v>65000</v>
      </c>
      <c r="I416" s="43">
        <v>1865.5</v>
      </c>
      <c r="J416" s="43">
        <v>4427.58</v>
      </c>
      <c r="K416" s="43">
        <v>1976</v>
      </c>
      <c r="L416" s="43">
        <v>27.21</v>
      </c>
      <c r="M416" s="44">
        <f t="shared" si="23"/>
        <v>8296.2899999999991</v>
      </c>
      <c r="N416" s="44">
        <f t="shared" si="24"/>
        <v>56703.71</v>
      </c>
      <c r="O416" s="88" t="s">
        <v>19</v>
      </c>
    </row>
    <row r="417" spans="1:15" s="91" customFormat="1" x14ac:dyDescent="0.25">
      <c r="A417" s="87"/>
      <c r="B417" s="88">
        <f t="shared" si="25"/>
        <v>413</v>
      </c>
      <c r="C417" s="89" t="s">
        <v>487</v>
      </c>
      <c r="D417" s="90" t="s">
        <v>356</v>
      </c>
      <c r="E417" s="89" t="s">
        <v>25</v>
      </c>
      <c r="F417" s="90" t="s">
        <v>360</v>
      </c>
      <c r="G417" s="43">
        <v>15000</v>
      </c>
      <c r="H417" s="43">
        <v>15000</v>
      </c>
      <c r="I417" s="43">
        <v>430.5</v>
      </c>
      <c r="J417" s="43">
        <v>0</v>
      </c>
      <c r="K417" s="43">
        <v>456</v>
      </c>
      <c r="L417" s="43">
        <v>31.21</v>
      </c>
      <c r="M417" s="44">
        <f t="shared" si="23"/>
        <v>917.71</v>
      </c>
      <c r="N417" s="44">
        <f t="shared" si="24"/>
        <v>14082.29</v>
      </c>
      <c r="O417" s="88" t="s">
        <v>19</v>
      </c>
    </row>
    <row r="418" spans="1:15" s="91" customFormat="1" ht="22.5" x14ac:dyDescent="0.25">
      <c r="A418" s="87"/>
      <c r="B418" s="88">
        <f t="shared" si="25"/>
        <v>414</v>
      </c>
      <c r="C418" s="89" t="s">
        <v>488</v>
      </c>
      <c r="D418" s="90" t="s">
        <v>356</v>
      </c>
      <c r="E418" s="89" t="s">
        <v>25</v>
      </c>
      <c r="F418" s="90" t="s">
        <v>489</v>
      </c>
      <c r="G418" s="43">
        <v>55000</v>
      </c>
      <c r="H418" s="43">
        <v>55000</v>
      </c>
      <c r="I418" s="43">
        <v>1578.5</v>
      </c>
      <c r="J418" s="43">
        <v>2559.6799999999998</v>
      </c>
      <c r="K418" s="43">
        <v>1672</v>
      </c>
      <c r="L418" s="43">
        <f>2131.21+12902.63</f>
        <v>15033.84</v>
      </c>
      <c r="M418" s="44">
        <f t="shared" si="23"/>
        <v>20844.02</v>
      </c>
      <c r="N418" s="44">
        <f t="shared" si="24"/>
        <v>34155.979999999996</v>
      </c>
      <c r="O418" s="88" t="s">
        <v>19</v>
      </c>
    </row>
    <row r="419" spans="1:15" s="91" customFormat="1" x14ac:dyDescent="0.25">
      <c r="A419" s="87"/>
      <c r="B419" s="88">
        <f t="shared" si="25"/>
        <v>415</v>
      </c>
      <c r="C419" s="89" t="s">
        <v>490</v>
      </c>
      <c r="D419" s="90" t="s">
        <v>356</v>
      </c>
      <c r="E419" s="89" t="s">
        <v>25</v>
      </c>
      <c r="F419" s="90" t="s">
        <v>357</v>
      </c>
      <c r="G419" s="43">
        <v>10000</v>
      </c>
      <c r="H419" s="43">
        <v>10000</v>
      </c>
      <c r="I419" s="43">
        <v>287</v>
      </c>
      <c r="J419" s="43">
        <v>0</v>
      </c>
      <c r="K419" s="43">
        <v>304</v>
      </c>
      <c r="L419" s="43">
        <v>27.21</v>
      </c>
      <c r="M419" s="44">
        <f t="shared" si="23"/>
        <v>618.21</v>
      </c>
      <c r="N419" s="44">
        <f t="shared" si="24"/>
        <v>9381.7900000000009</v>
      </c>
      <c r="O419" s="88" t="s">
        <v>19</v>
      </c>
    </row>
    <row r="420" spans="1:15" s="91" customFormat="1" x14ac:dyDescent="0.25">
      <c r="A420" s="87"/>
      <c r="B420" s="88">
        <f t="shared" si="25"/>
        <v>416</v>
      </c>
      <c r="C420" s="89" t="s">
        <v>491</v>
      </c>
      <c r="D420" s="90" t="s">
        <v>356</v>
      </c>
      <c r="E420" s="89" t="s">
        <v>25</v>
      </c>
      <c r="F420" s="90" t="s">
        <v>357</v>
      </c>
      <c r="G420" s="43">
        <v>15000</v>
      </c>
      <c r="H420" s="43">
        <v>15000</v>
      </c>
      <c r="I420" s="43">
        <v>430.5</v>
      </c>
      <c r="J420" s="43">
        <v>0</v>
      </c>
      <c r="K420" s="43">
        <v>456</v>
      </c>
      <c r="L420" s="43">
        <v>29.21</v>
      </c>
      <c r="M420" s="44">
        <f t="shared" si="23"/>
        <v>915.71</v>
      </c>
      <c r="N420" s="44">
        <f t="shared" si="24"/>
        <v>14084.29</v>
      </c>
      <c r="O420" s="88" t="s">
        <v>19</v>
      </c>
    </row>
    <row r="421" spans="1:15" s="91" customFormat="1" x14ac:dyDescent="0.25">
      <c r="A421" s="87"/>
      <c r="B421" s="88">
        <f t="shared" si="25"/>
        <v>417</v>
      </c>
      <c r="C421" s="89" t="s">
        <v>492</v>
      </c>
      <c r="D421" s="90" t="s">
        <v>356</v>
      </c>
      <c r="E421" s="89" t="s">
        <v>25</v>
      </c>
      <c r="F421" s="90" t="s">
        <v>360</v>
      </c>
      <c r="G421" s="43">
        <v>15000</v>
      </c>
      <c r="H421" s="43">
        <v>15000</v>
      </c>
      <c r="I421" s="43">
        <v>430.5</v>
      </c>
      <c r="J421" s="43">
        <v>0</v>
      </c>
      <c r="K421" s="43">
        <v>456</v>
      </c>
      <c r="L421" s="43">
        <v>1746.67</v>
      </c>
      <c r="M421" s="44">
        <f t="shared" si="23"/>
        <v>2633.17</v>
      </c>
      <c r="N421" s="44">
        <f t="shared" si="24"/>
        <v>12366.83</v>
      </c>
      <c r="O421" s="88" t="s">
        <v>19</v>
      </c>
    </row>
    <row r="422" spans="1:15" s="91" customFormat="1" x14ac:dyDescent="0.25">
      <c r="A422" s="87"/>
      <c r="B422" s="88">
        <f t="shared" si="25"/>
        <v>418</v>
      </c>
      <c r="C422" s="89" t="s">
        <v>493</v>
      </c>
      <c r="D422" s="90" t="s">
        <v>356</v>
      </c>
      <c r="E422" s="89" t="s">
        <v>25</v>
      </c>
      <c r="F422" s="90" t="s">
        <v>357</v>
      </c>
      <c r="G422" s="43">
        <v>15000</v>
      </c>
      <c r="H422" s="43">
        <v>15000</v>
      </c>
      <c r="I422" s="43">
        <v>430.5</v>
      </c>
      <c r="J422" s="43">
        <v>0</v>
      </c>
      <c r="K422" s="43">
        <v>456</v>
      </c>
      <c r="L422" s="43">
        <f>31.21+1000</f>
        <v>1031.21</v>
      </c>
      <c r="M422" s="44">
        <f t="shared" si="23"/>
        <v>1917.71</v>
      </c>
      <c r="N422" s="44">
        <f t="shared" si="24"/>
        <v>13082.29</v>
      </c>
      <c r="O422" s="88" t="s">
        <v>19</v>
      </c>
    </row>
    <row r="423" spans="1:15" s="91" customFormat="1" x14ac:dyDescent="0.25">
      <c r="A423" s="87"/>
      <c r="B423" s="88">
        <f t="shared" si="25"/>
        <v>419</v>
      </c>
      <c r="C423" s="89" t="s">
        <v>494</v>
      </c>
      <c r="D423" s="90" t="s">
        <v>356</v>
      </c>
      <c r="E423" s="89" t="s">
        <v>25</v>
      </c>
      <c r="F423" s="90" t="s">
        <v>360</v>
      </c>
      <c r="G423" s="43">
        <v>10000</v>
      </c>
      <c r="H423" s="43">
        <v>10000</v>
      </c>
      <c r="I423" s="43">
        <v>287</v>
      </c>
      <c r="J423" s="43">
        <v>0</v>
      </c>
      <c r="K423" s="43">
        <v>304</v>
      </c>
      <c r="L423" s="43">
        <v>0</v>
      </c>
      <c r="M423" s="44">
        <v>591</v>
      </c>
      <c r="N423" s="44">
        <f t="shared" si="24"/>
        <v>9409</v>
      </c>
      <c r="O423" s="88" t="s">
        <v>19</v>
      </c>
    </row>
    <row r="424" spans="1:15" s="91" customFormat="1" x14ac:dyDescent="0.25">
      <c r="A424" s="87"/>
      <c r="B424" s="88">
        <f t="shared" si="25"/>
        <v>420</v>
      </c>
      <c r="C424" s="89" t="s">
        <v>495</v>
      </c>
      <c r="D424" s="90" t="s">
        <v>356</v>
      </c>
      <c r="E424" s="89" t="s">
        <v>25</v>
      </c>
      <c r="F424" s="90" t="s">
        <v>357</v>
      </c>
      <c r="G424" s="43">
        <v>15000</v>
      </c>
      <c r="H424" s="43">
        <v>15000</v>
      </c>
      <c r="I424" s="43">
        <v>430.5</v>
      </c>
      <c r="J424" s="43">
        <v>0</v>
      </c>
      <c r="K424" s="43">
        <v>456</v>
      </c>
      <c r="L424" s="43">
        <v>5275.48</v>
      </c>
      <c r="M424" s="44">
        <f t="shared" si="23"/>
        <v>6161.98</v>
      </c>
      <c r="N424" s="44">
        <f t="shared" si="24"/>
        <v>8838.02</v>
      </c>
      <c r="O424" s="88" t="s">
        <v>19</v>
      </c>
    </row>
    <row r="425" spans="1:15" s="91" customFormat="1" x14ac:dyDescent="0.25">
      <c r="A425" s="87"/>
      <c r="B425" s="88">
        <f t="shared" si="25"/>
        <v>421</v>
      </c>
      <c r="C425" s="89" t="s">
        <v>496</v>
      </c>
      <c r="D425" s="90" t="s">
        <v>356</v>
      </c>
      <c r="E425" s="89" t="s">
        <v>25</v>
      </c>
      <c r="F425" s="90" t="s">
        <v>357</v>
      </c>
      <c r="G425" s="43">
        <v>15000</v>
      </c>
      <c r="H425" s="43">
        <v>15000</v>
      </c>
      <c r="I425" s="43">
        <v>430.5</v>
      </c>
      <c r="J425" s="43">
        <v>0</v>
      </c>
      <c r="K425" s="43">
        <v>456</v>
      </c>
      <c r="L425" s="43">
        <f>31.21+500+1257.12+2637.48</f>
        <v>4425.8099999999995</v>
      </c>
      <c r="M425" s="44">
        <f t="shared" si="23"/>
        <v>5312.3099999999995</v>
      </c>
      <c r="N425" s="44">
        <f t="shared" si="24"/>
        <v>9687.69</v>
      </c>
      <c r="O425" s="88" t="s">
        <v>19</v>
      </c>
    </row>
    <row r="426" spans="1:15" s="91" customFormat="1" x14ac:dyDescent="0.25">
      <c r="A426" s="87"/>
      <c r="B426" s="88">
        <f t="shared" si="25"/>
        <v>422</v>
      </c>
      <c r="C426" s="89" t="s">
        <v>497</v>
      </c>
      <c r="D426" s="90" t="s">
        <v>356</v>
      </c>
      <c r="E426" s="89" t="s">
        <v>25</v>
      </c>
      <c r="F426" s="90" t="s">
        <v>360</v>
      </c>
      <c r="G426" s="43">
        <v>15000</v>
      </c>
      <c r="H426" s="43">
        <v>15000</v>
      </c>
      <c r="I426" s="43">
        <v>430.5</v>
      </c>
      <c r="J426" s="43">
        <v>0</v>
      </c>
      <c r="K426" s="43">
        <v>456</v>
      </c>
      <c r="L426" s="43">
        <v>27.21</v>
      </c>
      <c r="M426" s="44">
        <f t="shared" si="23"/>
        <v>913.71</v>
      </c>
      <c r="N426" s="44">
        <f t="shared" si="24"/>
        <v>14086.29</v>
      </c>
      <c r="O426" s="88" t="s">
        <v>19</v>
      </c>
    </row>
    <row r="427" spans="1:15" s="91" customFormat="1" x14ac:dyDescent="0.25">
      <c r="A427" s="87"/>
      <c r="B427" s="88">
        <f t="shared" si="25"/>
        <v>423</v>
      </c>
      <c r="C427" s="89" t="s">
        <v>498</v>
      </c>
      <c r="D427" s="90" t="s">
        <v>356</v>
      </c>
      <c r="E427" s="89" t="s">
        <v>25</v>
      </c>
      <c r="F427" s="90" t="s">
        <v>360</v>
      </c>
      <c r="G427" s="43">
        <v>15000</v>
      </c>
      <c r="H427" s="43">
        <v>15000</v>
      </c>
      <c r="I427" s="43">
        <v>430.5</v>
      </c>
      <c r="J427" s="43">
        <v>0</v>
      </c>
      <c r="K427" s="43">
        <v>456</v>
      </c>
      <c r="L427" s="43">
        <v>2602.62</v>
      </c>
      <c r="M427" s="44">
        <f t="shared" si="23"/>
        <v>3489.12</v>
      </c>
      <c r="N427" s="44">
        <f t="shared" si="24"/>
        <v>11510.880000000001</v>
      </c>
      <c r="O427" s="88" t="s">
        <v>19</v>
      </c>
    </row>
    <row r="428" spans="1:15" s="91" customFormat="1" x14ac:dyDescent="0.25">
      <c r="A428" s="87"/>
      <c r="B428" s="88">
        <f t="shared" si="25"/>
        <v>424</v>
      </c>
      <c r="C428" s="89" t="s">
        <v>499</v>
      </c>
      <c r="D428" s="90" t="s">
        <v>356</v>
      </c>
      <c r="E428" s="89" t="s">
        <v>25</v>
      </c>
      <c r="F428" s="90" t="s">
        <v>357</v>
      </c>
      <c r="G428" s="43">
        <v>15000</v>
      </c>
      <c r="H428" s="43">
        <v>15000</v>
      </c>
      <c r="I428" s="43">
        <v>430.5</v>
      </c>
      <c r="J428" s="43">
        <v>0</v>
      </c>
      <c r="K428" s="43">
        <v>456</v>
      </c>
      <c r="L428" s="43">
        <v>31.21</v>
      </c>
      <c r="M428" s="44">
        <f t="shared" si="23"/>
        <v>917.71</v>
      </c>
      <c r="N428" s="44">
        <f t="shared" si="24"/>
        <v>14082.29</v>
      </c>
      <c r="O428" s="88" t="s">
        <v>19</v>
      </c>
    </row>
    <row r="429" spans="1:15" s="91" customFormat="1" x14ac:dyDescent="0.25">
      <c r="A429" s="87"/>
      <c r="B429" s="88">
        <f t="shared" si="25"/>
        <v>425</v>
      </c>
      <c r="C429" s="89" t="s">
        <v>500</v>
      </c>
      <c r="D429" s="90" t="s">
        <v>356</v>
      </c>
      <c r="E429" s="89" t="s">
        <v>25</v>
      </c>
      <c r="F429" s="90" t="s">
        <v>357</v>
      </c>
      <c r="G429" s="43">
        <v>10000</v>
      </c>
      <c r="H429" s="43">
        <v>10000</v>
      </c>
      <c r="I429" s="43">
        <v>287</v>
      </c>
      <c r="J429" s="43">
        <v>0</v>
      </c>
      <c r="K429" s="43">
        <v>304</v>
      </c>
      <c r="L429" s="43">
        <f>2079.28+27.21</f>
        <v>2106.4900000000002</v>
      </c>
      <c r="M429" s="44">
        <f t="shared" ref="M429:M486" si="26">SUM(I429:L429)</f>
        <v>2697.4900000000002</v>
      </c>
      <c r="N429" s="44">
        <f t="shared" ref="N429:N486" si="27">G429-M429</f>
        <v>7302.51</v>
      </c>
      <c r="O429" s="88" t="s">
        <v>19</v>
      </c>
    </row>
    <row r="430" spans="1:15" s="91" customFormat="1" x14ac:dyDescent="0.25">
      <c r="A430" s="87"/>
      <c r="B430" s="88">
        <f t="shared" si="25"/>
        <v>426</v>
      </c>
      <c r="C430" s="89" t="s">
        <v>501</v>
      </c>
      <c r="D430" s="90" t="s">
        <v>356</v>
      </c>
      <c r="E430" s="89" t="s">
        <v>25</v>
      </c>
      <c r="F430" s="90" t="s">
        <v>357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v>31.21</v>
      </c>
      <c r="M430" s="44">
        <f t="shared" si="26"/>
        <v>917.71</v>
      </c>
      <c r="N430" s="44">
        <f t="shared" si="27"/>
        <v>14082.29</v>
      </c>
      <c r="O430" s="88" t="s">
        <v>19</v>
      </c>
    </row>
    <row r="431" spans="1:15" s="91" customFormat="1" x14ac:dyDescent="0.25">
      <c r="A431" s="87"/>
      <c r="B431" s="88">
        <f t="shared" si="25"/>
        <v>427</v>
      </c>
      <c r="C431" s="89" t="s">
        <v>502</v>
      </c>
      <c r="D431" s="90" t="s">
        <v>356</v>
      </c>
      <c r="E431" s="89" t="s">
        <v>25</v>
      </c>
      <c r="F431" s="90" t="s">
        <v>360</v>
      </c>
      <c r="G431" s="43">
        <v>15000</v>
      </c>
      <c r="H431" s="43">
        <v>15000</v>
      </c>
      <c r="I431" s="43">
        <v>430.5</v>
      </c>
      <c r="J431" s="43">
        <v>0</v>
      </c>
      <c r="K431" s="43">
        <v>456</v>
      </c>
      <c r="L431" s="43">
        <v>31.21</v>
      </c>
      <c r="M431" s="44">
        <f t="shared" si="26"/>
        <v>917.71</v>
      </c>
      <c r="N431" s="44">
        <f t="shared" si="27"/>
        <v>14082.29</v>
      </c>
      <c r="O431" s="88" t="s">
        <v>19</v>
      </c>
    </row>
    <row r="432" spans="1:15" s="91" customFormat="1" x14ac:dyDescent="0.25">
      <c r="A432" s="87"/>
      <c r="B432" s="88">
        <f t="shared" si="25"/>
        <v>428</v>
      </c>
      <c r="C432" s="89" t="s">
        <v>503</v>
      </c>
      <c r="D432" s="90" t="s">
        <v>356</v>
      </c>
      <c r="E432" s="89" t="s">
        <v>25</v>
      </c>
      <c r="F432" s="90" t="s">
        <v>360</v>
      </c>
      <c r="G432" s="43">
        <v>10000</v>
      </c>
      <c r="H432" s="43">
        <v>10000</v>
      </c>
      <c r="I432" s="43">
        <v>287</v>
      </c>
      <c r="J432" s="43">
        <v>0</v>
      </c>
      <c r="K432" s="43">
        <v>304</v>
      </c>
      <c r="L432" s="43">
        <f>1039.64+31.21</f>
        <v>1070.8500000000001</v>
      </c>
      <c r="M432" s="44">
        <f t="shared" si="26"/>
        <v>1661.8500000000001</v>
      </c>
      <c r="N432" s="44">
        <f t="shared" si="27"/>
        <v>8338.15</v>
      </c>
      <c r="O432" s="88" t="s">
        <v>19</v>
      </c>
    </row>
    <row r="433" spans="1:15" s="91" customFormat="1" x14ac:dyDescent="0.25">
      <c r="A433" s="87"/>
      <c r="B433" s="88">
        <f>B432+1</f>
        <v>429</v>
      </c>
      <c r="C433" s="89" t="s">
        <v>505</v>
      </c>
      <c r="D433" s="90" t="s">
        <v>356</v>
      </c>
      <c r="E433" s="89" t="s">
        <v>25</v>
      </c>
      <c r="F433" s="90" t="s">
        <v>360</v>
      </c>
      <c r="G433" s="43">
        <v>15000</v>
      </c>
      <c r="H433" s="43">
        <v>15000</v>
      </c>
      <c r="I433" s="43">
        <v>430.5</v>
      </c>
      <c r="J433" s="43">
        <v>0</v>
      </c>
      <c r="K433" s="43">
        <v>456</v>
      </c>
      <c r="L433" s="43">
        <f>31.21+2000+2637.48</f>
        <v>4668.6900000000005</v>
      </c>
      <c r="M433" s="44">
        <f t="shared" si="26"/>
        <v>5555.1900000000005</v>
      </c>
      <c r="N433" s="44">
        <f t="shared" si="27"/>
        <v>9444.81</v>
      </c>
      <c r="O433" s="88" t="s">
        <v>19</v>
      </c>
    </row>
    <row r="434" spans="1:15" s="91" customFormat="1" x14ac:dyDescent="0.25">
      <c r="A434" s="87"/>
      <c r="B434" s="88">
        <f t="shared" si="25"/>
        <v>430</v>
      </c>
      <c r="C434" s="89" t="s">
        <v>506</v>
      </c>
      <c r="D434" s="90" t="s">
        <v>356</v>
      </c>
      <c r="E434" s="89" t="s">
        <v>25</v>
      </c>
      <c r="F434" s="90" t="s">
        <v>360</v>
      </c>
      <c r="G434" s="43">
        <v>15000</v>
      </c>
      <c r="H434" s="43">
        <v>15000</v>
      </c>
      <c r="I434" s="43">
        <v>430.5</v>
      </c>
      <c r="J434" s="43">
        <v>0</v>
      </c>
      <c r="K434" s="43">
        <v>456</v>
      </c>
      <c r="L434" s="43">
        <v>31.21</v>
      </c>
      <c r="M434" s="44">
        <f t="shared" si="26"/>
        <v>917.71</v>
      </c>
      <c r="N434" s="44">
        <f t="shared" si="27"/>
        <v>14082.29</v>
      </c>
      <c r="O434" s="88" t="s">
        <v>19</v>
      </c>
    </row>
    <row r="435" spans="1:15" s="91" customFormat="1" x14ac:dyDescent="0.25">
      <c r="A435" s="87"/>
      <c r="B435" s="88">
        <f t="shared" si="25"/>
        <v>431</v>
      </c>
      <c r="C435" s="89" t="s">
        <v>507</v>
      </c>
      <c r="D435" s="90" t="s">
        <v>356</v>
      </c>
      <c r="E435" s="89" t="s">
        <v>25</v>
      </c>
      <c r="F435" s="90" t="s">
        <v>360</v>
      </c>
      <c r="G435" s="43">
        <v>15000</v>
      </c>
      <c r="H435" s="43">
        <v>15000</v>
      </c>
      <c r="I435" s="43">
        <v>430.5</v>
      </c>
      <c r="J435" s="43">
        <v>0</v>
      </c>
      <c r="K435" s="43">
        <v>456</v>
      </c>
      <c r="L435" s="43">
        <v>31.21</v>
      </c>
      <c r="M435" s="44">
        <f t="shared" si="26"/>
        <v>917.71</v>
      </c>
      <c r="N435" s="44">
        <f t="shared" si="27"/>
        <v>14082.29</v>
      </c>
      <c r="O435" s="88" t="s">
        <v>19</v>
      </c>
    </row>
    <row r="436" spans="1:15" s="91" customFormat="1" x14ac:dyDescent="0.25">
      <c r="A436" s="87"/>
      <c r="B436" s="88">
        <f t="shared" si="25"/>
        <v>432</v>
      </c>
      <c r="C436" s="89" t="s">
        <v>619</v>
      </c>
      <c r="D436" s="90" t="s">
        <v>356</v>
      </c>
      <c r="E436" s="89" t="s">
        <v>25</v>
      </c>
      <c r="F436" s="90" t="s">
        <v>360</v>
      </c>
      <c r="G436" s="43">
        <v>15000</v>
      </c>
      <c r="H436" s="43">
        <v>15000</v>
      </c>
      <c r="I436" s="43">
        <v>430.5</v>
      </c>
      <c r="J436" s="43">
        <v>0</v>
      </c>
      <c r="K436" s="43">
        <v>456</v>
      </c>
      <c r="L436" s="43">
        <f>31.21+1000</f>
        <v>1031.21</v>
      </c>
      <c r="M436" s="44">
        <f t="shared" si="26"/>
        <v>1917.71</v>
      </c>
      <c r="N436" s="44">
        <f t="shared" si="27"/>
        <v>13082.29</v>
      </c>
      <c r="O436" s="88" t="s">
        <v>19</v>
      </c>
    </row>
    <row r="437" spans="1:15" s="91" customFormat="1" x14ac:dyDescent="0.25">
      <c r="A437" s="87"/>
      <c r="B437" s="88">
        <f t="shared" si="25"/>
        <v>433</v>
      </c>
      <c r="C437" s="89" t="s">
        <v>618</v>
      </c>
      <c r="D437" s="90" t="s">
        <v>356</v>
      </c>
      <c r="E437" s="89" t="s">
        <v>25</v>
      </c>
      <c r="F437" s="90" t="s">
        <v>360</v>
      </c>
      <c r="G437" s="43">
        <v>15000</v>
      </c>
      <c r="H437" s="43">
        <v>15000</v>
      </c>
      <c r="I437" s="43">
        <v>430.5</v>
      </c>
      <c r="J437" s="43">
        <v>0</v>
      </c>
      <c r="K437" s="43">
        <v>456</v>
      </c>
      <c r="L437" s="43">
        <v>2031.21</v>
      </c>
      <c r="M437" s="44">
        <f t="shared" si="26"/>
        <v>2917.71</v>
      </c>
      <c r="N437" s="44">
        <f t="shared" si="27"/>
        <v>12082.29</v>
      </c>
      <c r="O437" s="88" t="s">
        <v>19</v>
      </c>
    </row>
    <row r="438" spans="1:15" s="91" customFormat="1" x14ac:dyDescent="0.25">
      <c r="A438" s="87"/>
      <c r="B438" s="88">
        <f t="shared" si="25"/>
        <v>434</v>
      </c>
      <c r="C438" s="89" t="s">
        <v>508</v>
      </c>
      <c r="D438" s="90" t="s">
        <v>356</v>
      </c>
      <c r="E438" s="89" t="s">
        <v>25</v>
      </c>
      <c r="F438" s="90" t="s">
        <v>360</v>
      </c>
      <c r="G438" s="43">
        <v>15000</v>
      </c>
      <c r="H438" s="43">
        <v>15000</v>
      </c>
      <c r="I438" s="43">
        <v>430.5</v>
      </c>
      <c r="J438" s="43">
        <v>0</v>
      </c>
      <c r="K438" s="43">
        <v>456</v>
      </c>
      <c r="L438" s="43">
        <v>31.21</v>
      </c>
      <c r="M438" s="44">
        <f t="shared" si="26"/>
        <v>917.71</v>
      </c>
      <c r="N438" s="44">
        <f t="shared" si="27"/>
        <v>14082.29</v>
      </c>
      <c r="O438" s="88" t="s">
        <v>19</v>
      </c>
    </row>
    <row r="439" spans="1:15" s="91" customFormat="1" x14ac:dyDescent="0.25">
      <c r="A439" s="87"/>
      <c r="B439" s="88">
        <f t="shared" si="25"/>
        <v>435</v>
      </c>
      <c r="C439" s="89" t="s">
        <v>509</v>
      </c>
      <c r="D439" s="90" t="s">
        <v>356</v>
      </c>
      <c r="E439" s="89" t="s">
        <v>25</v>
      </c>
      <c r="F439" s="90" t="s">
        <v>360</v>
      </c>
      <c r="G439" s="43">
        <v>13000</v>
      </c>
      <c r="H439" s="43">
        <v>13000</v>
      </c>
      <c r="I439" s="43">
        <v>373.1</v>
      </c>
      <c r="J439" s="43">
        <v>0</v>
      </c>
      <c r="K439" s="43">
        <v>395.2</v>
      </c>
      <c r="L439" s="43">
        <v>31.21</v>
      </c>
      <c r="M439" s="44">
        <f t="shared" si="26"/>
        <v>799.51</v>
      </c>
      <c r="N439" s="44">
        <f t="shared" si="27"/>
        <v>12200.49</v>
      </c>
      <c r="O439" s="88" t="s">
        <v>19</v>
      </c>
    </row>
    <row r="440" spans="1:15" s="91" customFormat="1" x14ac:dyDescent="0.25">
      <c r="A440" s="87"/>
      <c r="B440" s="88">
        <f t="shared" si="25"/>
        <v>436</v>
      </c>
      <c r="C440" s="89" t="s">
        <v>510</v>
      </c>
      <c r="D440" s="90" t="s">
        <v>356</v>
      </c>
      <c r="E440" s="89" t="s">
        <v>25</v>
      </c>
      <c r="F440" s="90" t="s">
        <v>357</v>
      </c>
      <c r="G440" s="43">
        <v>15000</v>
      </c>
      <c r="H440" s="43">
        <v>15000</v>
      </c>
      <c r="I440" s="43">
        <v>430.5</v>
      </c>
      <c r="J440" s="43">
        <v>0</v>
      </c>
      <c r="K440" s="43">
        <v>456</v>
      </c>
      <c r="L440" s="43">
        <v>5311.74</v>
      </c>
      <c r="M440" s="44">
        <f t="shared" si="26"/>
        <v>6198.24</v>
      </c>
      <c r="N440" s="44">
        <f t="shared" si="27"/>
        <v>8801.76</v>
      </c>
      <c r="O440" s="88" t="s">
        <v>19</v>
      </c>
    </row>
    <row r="441" spans="1:15" s="91" customFormat="1" x14ac:dyDescent="0.25">
      <c r="A441" s="87"/>
      <c r="B441" s="88">
        <f t="shared" si="25"/>
        <v>437</v>
      </c>
      <c r="C441" s="89" t="s">
        <v>511</v>
      </c>
      <c r="D441" s="90" t="s">
        <v>356</v>
      </c>
      <c r="E441" s="89" t="s">
        <v>25</v>
      </c>
      <c r="F441" s="90" t="s">
        <v>360</v>
      </c>
      <c r="G441" s="43">
        <v>15000</v>
      </c>
      <c r="H441" s="43">
        <v>15000</v>
      </c>
      <c r="I441" s="43">
        <v>430.5</v>
      </c>
      <c r="J441" s="43">
        <v>0</v>
      </c>
      <c r="K441" s="43">
        <v>456</v>
      </c>
      <c r="L441" s="43">
        <f>31.21+1000</f>
        <v>1031.21</v>
      </c>
      <c r="M441" s="44">
        <f t="shared" si="26"/>
        <v>1917.71</v>
      </c>
      <c r="N441" s="44">
        <f t="shared" si="27"/>
        <v>13082.29</v>
      </c>
      <c r="O441" s="88" t="s">
        <v>19</v>
      </c>
    </row>
    <row r="442" spans="1:15" s="91" customFormat="1" x14ac:dyDescent="0.25">
      <c r="A442" s="87"/>
      <c r="B442" s="88">
        <f t="shared" si="25"/>
        <v>438</v>
      </c>
      <c r="C442" s="89" t="s">
        <v>512</v>
      </c>
      <c r="D442" s="90" t="s">
        <v>356</v>
      </c>
      <c r="E442" s="89" t="s">
        <v>25</v>
      </c>
      <c r="F442" s="90" t="s">
        <v>360</v>
      </c>
      <c r="G442" s="43">
        <v>10000</v>
      </c>
      <c r="H442" s="43">
        <v>10000</v>
      </c>
      <c r="I442" s="43">
        <v>287</v>
      </c>
      <c r="J442" s="43">
        <v>0</v>
      </c>
      <c r="K442" s="43">
        <v>304</v>
      </c>
      <c r="L442" s="43">
        <v>29.21</v>
      </c>
      <c r="M442" s="44">
        <f t="shared" si="26"/>
        <v>620.21</v>
      </c>
      <c r="N442" s="44">
        <f t="shared" si="27"/>
        <v>9379.7900000000009</v>
      </c>
      <c r="O442" s="88" t="s">
        <v>19</v>
      </c>
    </row>
    <row r="443" spans="1:15" s="91" customFormat="1" x14ac:dyDescent="0.25">
      <c r="A443" s="87"/>
      <c r="B443" s="88">
        <f t="shared" si="25"/>
        <v>439</v>
      </c>
      <c r="C443" s="89" t="s">
        <v>513</v>
      </c>
      <c r="D443" s="90" t="s">
        <v>356</v>
      </c>
      <c r="E443" s="89" t="s">
        <v>25</v>
      </c>
      <c r="F443" s="90" t="s">
        <v>360</v>
      </c>
      <c r="G443" s="43">
        <v>10000</v>
      </c>
      <c r="H443" s="43">
        <v>10000</v>
      </c>
      <c r="I443" s="43">
        <v>287</v>
      </c>
      <c r="J443" s="43">
        <v>0</v>
      </c>
      <c r="K443" s="43">
        <v>304</v>
      </c>
      <c r="L443" s="43">
        <v>31.21</v>
      </c>
      <c r="M443" s="44">
        <f t="shared" si="26"/>
        <v>622.21</v>
      </c>
      <c r="N443" s="44">
        <f t="shared" si="27"/>
        <v>9377.7900000000009</v>
      </c>
      <c r="O443" s="88" t="s">
        <v>23</v>
      </c>
    </row>
    <row r="444" spans="1:15" s="91" customFormat="1" x14ac:dyDescent="0.25">
      <c r="A444" s="87"/>
      <c r="B444" s="88">
        <f t="shared" si="25"/>
        <v>440</v>
      </c>
      <c r="C444" s="89" t="s">
        <v>514</v>
      </c>
      <c r="D444" s="90" t="s">
        <v>356</v>
      </c>
      <c r="E444" s="89" t="s">
        <v>25</v>
      </c>
      <c r="F444" s="90" t="s">
        <v>360</v>
      </c>
      <c r="G444" s="43">
        <v>10000</v>
      </c>
      <c r="H444" s="43">
        <v>10000</v>
      </c>
      <c r="I444" s="43">
        <v>287</v>
      </c>
      <c r="J444" s="43">
        <v>0</v>
      </c>
      <c r="K444" s="43">
        <v>304</v>
      </c>
      <c r="L444" s="43">
        <v>961.21</v>
      </c>
      <c r="M444" s="44">
        <f t="shared" si="26"/>
        <v>1552.21</v>
      </c>
      <c r="N444" s="44">
        <f t="shared" si="27"/>
        <v>8447.7900000000009</v>
      </c>
      <c r="O444" s="88" t="s">
        <v>19</v>
      </c>
    </row>
    <row r="445" spans="1:15" s="91" customFormat="1" x14ac:dyDescent="0.25">
      <c r="A445" s="87"/>
      <c r="B445" s="88">
        <f t="shared" si="25"/>
        <v>441</v>
      </c>
      <c r="C445" s="89" t="s">
        <v>515</v>
      </c>
      <c r="D445" s="90" t="s">
        <v>356</v>
      </c>
      <c r="E445" s="89" t="s">
        <v>25</v>
      </c>
      <c r="F445" s="90" t="s">
        <v>357</v>
      </c>
      <c r="G445" s="43">
        <v>11000</v>
      </c>
      <c r="H445" s="43">
        <v>11000</v>
      </c>
      <c r="I445" s="43">
        <v>315.7</v>
      </c>
      <c r="J445" s="43">
        <v>0</v>
      </c>
      <c r="K445" s="43">
        <v>334.4</v>
      </c>
      <c r="L445" s="43">
        <v>31.21</v>
      </c>
      <c r="M445" s="44">
        <f t="shared" si="26"/>
        <v>681.31</v>
      </c>
      <c r="N445" s="44">
        <f t="shared" si="27"/>
        <v>10318.69</v>
      </c>
      <c r="O445" s="88" t="s">
        <v>19</v>
      </c>
    </row>
    <row r="446" spans="1:15" s="91" customFormat="1" x14ac:dyDescent="0.25">
      <c r="A446" s="87"/>
      <c r="B446" s="88">
        <f t="shared" si="25"/>
        <v>442</v>
      </c>
      <c r="C446" s="89" t="s">
        <v>516</v>
      </c>
      <c r="D446" s="90" t="s">
        <v>356</v>
      </c>
      <c r="E446" s="89" t="s">
        <v>25</v>
      </c>
      <c r="F446" s="90" t="s">
        <v>357</v>
      </c>
      <c r="G446" s="43">
        <v>15000</v>
      </c>
      <c r="H446" s="43">
        <v>15000</v>
      </c>
      <c r="I446" s="43">
        <v>430.5</v>
      </c>
      <c r="J446" s="43">
        <v>0</v>
      </c>
      <c r="K446" s="43">
        <v>456</v>
      </c>
      <c r="L446" s="43">
        <v>31.21</v>
      </c>
      <c r="M446" s="44">
        <f t="shared" si="26"/>
        <v>917.71</v>
      </c>
      <c r="N446" s="44">
        <f t="shared" si="27"/>
        <v>14082.29</v>
      </c>
      <c r="O446" s="88" t="s">
        <v>23</v>
      </c>
    </row>
    <row r="447" spans="1:15" s="91" customFormat="1" x14ac:dyDescent="0.25">
      <c r="A447" s="87"/>
      <c r="B447" s="88">
        <f t="shared" si="25"/>
        <v>443</v>
      </c>
      <c r="C447" s="89" t="s">
        <v>517</v>
      </c>
      <c r="D447" s="90" t="s">
        <v>356</v>
      </c>
      <c r="E447" s="89" t="s">
        <v>25</v>
      </c>
      <c r="F447" s="90" t="s">
        <v>357</v>
      </c>
      <c r="G447" s="43">
        <v>11000</v>
      </c>
      <c r="H447" s="43">
        <v>11000</v>
      </c>
      <c r="I447" s="43">
        <v>315.7</v>
      </c>
      <c r="J447" s="43">
        <v>0</v>
      </c>
      <c r="K447" s="43">
        <v>334.4</v>
      </c>
      <c r="L447" s="43">
        <v>31.21</v>
      </c>
      <c r="M447" s="44">
        <f t="shared" si="26"/>
        <v>681.31</v>
      </c>
      <c r="N447" s="44">
        <f t="shared" si="27"/>
        <v>10318.69</v>
      </c>
      <c r="O447" s="88" t="s">
        <v>19</v>
      </c>
    </row>
    <row r="448" spans="1:15" s="91" customFormat="1" x14ac:dyDescent="0.25">
      <c r="A448" s="87"/>
      <c r="B448" s="88">
        <f t="shared" ref="B448:B508" si="28">+B447+1</f>
        <v>444</v>
      </c>
      <c r="C448" s="89" t="s">
        <v>518</v>
      </c>
      <c r="D448" s="90" t="s">
        <v>356</v>
      </c>
      <c r="E448" s="89" t="s">
        <v>25</v>
      </c>
      <c r="F448" s="90" t="s">
        <v>357</v>
      </c>
      <c r="G448" s="43">
        <v>10000</v>
      </c>
      <c r="H448" s="43">
        <v>10000</v>
      </c>
      <c r="I448" s="43">
        <v>287</v>
      </c>
      <c r="J448" s="43">
        <v>0</v>
      </c>
      <c r="K448" s="43">
        <v>304</v>
      </c>
      <c r="L448" s="43">
        <v>31.21</v>
      </c>
      <c r="M448" s="44">
        <f t="shared" si="26"/>
        <v>622.21</v>
      </c>
      <c r="N448" s="44">
        <f t="shared" si="27"/>
        <v>9377.7900000000009</v>
      </c>
      <c r="O448" s="88" t="s">
        <v>23</v>
      </c>
    </row>
    <row r="449" spans="1:15" s="91" customFormat="1" x14ac:dyDescent="0.25">
      <c r="A449" s="87"/>
      <c r="B449" s="88">
        <f t="shared" si="28"/>
        <v>445</v>
      </c>
      <c r="C449" s="89" t="s">
        <v>519</v>
      </c>
      <c r="D449" s="90" t="s">
        <v>356</v>
      </c>
      <c r="E449" s="89" t="s">
        <v>25</v>
      </c>
      <c r="F449" s="90" t="s">
        <v>357</v>
      </c>
      <c r="G449" s="43">
        <v>20000</v>
      </c>
      <c r="H449" s="43">
        <v>20000</v>
      </c>
      <c r="I449" s="43">
        <v>574</v>
      </c>
      <c r="J449" s="43">
        <v>0</v>
      </c>
      <c r="K449" s="43">
        <v>608</v>
      </c>
      <c r="L449" s="43">
        <v>5000</v>
      </c>
      <c r="M449" s="44">
        <f t="shared" si="26"/>
        <v>6182</v>
      </c>
      <c r="N449" s="44">
        <f t="shared" si="27"/>
        <v>13818</v>
      </c>
      <c r="O449" s="88" t="s">
        <v>19</v>
      </c>
    </row>
    <row r="450" spans="1:15" s="91" customFormat="1" x14ac:dyDescent="0.25">
      <c r="A450" s="87"/>
      <c r="B450" s="88">
        <f t="shared" si="28"/>
        <v>446</v>
      </c>
      <c r="C450" s="89" t="s">
        <v>520</v>
      </c>
      <c r="D450" s="90" t="s">
        <v>356</v>
      </c>
      <c r="E450" s="89" t="s">
        <v>25</v>
      </c>
      <c r="F450" s="90" t="s">
        <v>360</v>
      </c>
      <c r="G450" s="43">
        <v>15000</v>
      </c>
      <c r="H450" s="43">
        <v>15000</v>
      </c>
      <c r="I450" s="43">
        <v>430.5</v>
      </c>
      <c r="J450" s="43">
        <v>0</v>
      </c>
      <c r="K450" s="43">
        <v>456</v>
      </c>
      <c r="L450" s="43">
        <v>0</v>
      </c>
      <c r="M450" s="44">
        <f t="shared" si="26"/>
        <v>886.5</v>
      </c>
      <c r="N450" s="44">
        <f t="shared" si="27"/>
        <v>14113.5</v>
      </c>
      <c r="O450" s="88" t="s">
        <v>19</v>
      </c>
    </row>
    <row r="451" spans="1:15" s="91" customFormat="1" x14ac:dyDescent="0.25">
      <c r="A451" s="87"/>
      <c r="B451" s="88">
        <f t="shared" si="28"/>
        <v>447</v>
      </c>
      <c r="C451" s="89" t="s">
        <v>521</v>
      </c>
      <c r="D451" s="90" t="s">
        <v>356</v>
      </c>
      <c r="E451" s="89" t="s">
        <v>25</v>
      </c>
      <c r="F451" s="90" t="s">
        <v>360</v>
      </c>
      <c r="G451" s="43">
        <v>15000</v>
      </c>
      <c r="H451" s="43">
        <v>15000</v>
      </c>
      <c r="I451" s="43">
        <v>430.5</v>
      </c>
      <c r="J451" s="43">
        <v>0</v>
      </c>
      <c r="K451" s="43">
        <v>456</v>
      </c>
      <c r="L451" s="43">
        <v>1000</v>
      </c>
      <c r="M451" s="44">
        <f t="shared" si="26"/>
        <v>1886.5</v>
      </c>
      <c r="N451" s="44">
        <f t="shared" si="27"/>
        <v>13113.5</v>
      </c>
      <c r="O451" s="88" t="s">
        <v>19</v>
      </c>
    </row>
    <row r="452" spans="1:15" s="91" customFormat="1" x14ac:dyDescent="0.25">
      <c r="A452" s="87"/>
      <c r="B452" s="88">
        <f t="shared" si="28"/>
        <v>448</v>
      </c>
      <c r="C452" s="89" t="s">
        <v>522</v>
      </c>
      <c r="D452" s="90" t="s">
        <v>356</v>
      </c>
      <c r="E452" s="89" t="s">
        <v>25</v>
      </c>
      <c r="F452" s="90" t="s">
        <v>360</v>
      </c>
      <c r="G452" s="43">
        <v>10000</v>
      </c>
      <c r="H452" s="43">
        <v>10000</v>
      </c>
      <c r="I452" s="43">
        <v>287</v>
      </c>
      <c r="J452" s="43">
        <v>0</v>
      </c>
      <c r="K452" s="43">
        <v>304</v>
      </c>
      <c r="L452" s="43">
        <v>0</v>
      </c>
      <c r="M452" s="44">
        <f t="shared" si="26"/>
        <v>591</v>
      </c>
      <c r="N452" s="44">
        <f t="shared" si="27"/>
        <v>9409</v>
      </c>
      <c r="O452" s="88" t="s">
        <v>19</v>
      </c>
    </row>
    <row r="453" spans="1:15" s="39" customFormat="1" ht="22.5" x14ac:dyDescent="0.25">
      <c r="A453" s="12"/>
      <c r="B453" s="81">
        <f t="shared" si="28"/>
        <v>449</v>
      </c>
      <c r="C453" s="82" t="s">
        <v>523</v>
      </c>
      <c r="D453" s="83" t="s">
        <v>356</v>
      </c>
      <c r="E453" s="82" t="s">
        <v>25</v>
      </c>
      <c r="F453" s="83" t="s">
        <v>373</v>
      </c>
      <c r="G453" s="84">
        <v>20000</v>
      </c>
      <c r="H453" s="84">
        <v>20000</v>
      </c>
      <c r="I453" s="84">
        <v>574</v>
      </c>
      <c r="J453" s="84">
        <v>0</v>
      </c>
      <c r="K453" s="84">
        <v>608</v>
      </c>
      <c r="L453" s="84">
        <v>531.21</v>
      </c>
      <c r="M453" s="85">
        <f t="shared" si="26"/>
        <v>1713.21</v>
      </c>
      <c r="N453" s="85">
        <f t="shared" si="27"/>
        <v>18286.79</v>
      </c>
      <c r="O453" s="81" t="s">
        <v>19</v>
      </c>
    </row>
    <row r="454" spans="1:15" s="91" customFormat="1" x14ac:dyDescent="0.25">
      <c r="A454" s="87"/>
      <c r="B454" s="88">
        <f t="shared" si="28"/>
        <v>450</v>
      </c>
      <c r="C454" s="89" t="s">
        <v>524</v>
      </c>
      <c r="D454" s="90" t="s">
        <v>356</v>
      </c>
      <c r="E454" s="89" t="s">
        <v>25</v>
      </c>
      <c r="F454" s="90" t="s">
        <v>360</v>
      </c>
      <c r="G454" s="43">
        <v>15000</v>
      </c>
      <c r="H454" s="43">
        <v>15000</v>
      </c>
      <c r="I454" s="43">
        <v>430.5</v>
      </c>
      <c r="J454" s="43">
        <v>0</v>
      </c>
      <c r="K454" s="43">
        <v>456</v>
      </c>
      <c r="L454" s="43">
        <v>500</v>
      </c>
      <c r="M454" s="44">
        <f t="shared" si="26"/>
        <v>1386.5</v>
      </c>
      <c r="N454" s="44">
        <f t="shared" si="27"/>
        <v>13613.5</v>
      </c>
      <c r="O454" s="88" t="s">
        <v>19</v>
      </c>
    </row>
    <row r="455" spans="1:15" s="91" customFormat="1" x14ac:dyDescent="0.25">
      <c r="A455" s="87"/>
      <c r="B455" s="88">
        <f t="shared" si="28"/>
        <v>451</v>
      </c>
      <c r="C455" s="89" t="s">
        <v>525</v>
      </c>
      <c r="D455" s="90" t="s">
        <v>356</v>
      </c>
      <c r="E455" s="89" t="s">
        <v>25</v>
      </c>
      <c r="F455" s="90" t="s">
        <v>360</v>
      </c>
      <c r="G455" s="43">
        <v>13000</v>
      </c>
      <c r="H455" s="43">
        <v>13000</v>
      </c>
      <c r="I455" s="43">
        <v>373.1</v>
      </c>
      <c r="J455" s="43">
        <v>0</v>
      </c>
      <c r="K455" s="43">
        <v>395.2</v>
      </c>
      <c r="L455" s="43">
        <v>0</v>
      </c>
      <c r="M455" s="44">
        <f t="shared" si="26"/>
        <v>768.3</v>
      </c>
      <c r="N455" s="44">
        <f t="shared" si="27"/>
        <v>12231.7</v>
      </c>
      <c r="O455" s="88" t="s">
        <v>19</v>
      </c>
    </row>
    <row r="456" spans="1:15" s="91" customFormat="1" x14ac:dyDescent="0.25">
      <c r="A456" s="87"/>
      <c r="B456" s="88">
        <f t="shared" si="28"/>
        <v>452</v>
      </c>
      <c r="C456" s="89" t="s">
        <v>526</v>
      </c>
      <c r="D456" s="90" t="s">
        <v>356</v>
      </c>
      <c r="E456" s="89" t="s">
        <v>25</v>
      </c>
      <c r="F456" s="90" t="s">
        <v>360</v>
      </c>
      <c r="G456" s="43">
        <v>15000</v>
      </c>
      <c r="H456" s="43">
        <v>15000</v>
      </c>
      <c r="I456" s="43">
        <v>430.5</v>
      </c>
      <c r="J456" s="43">
        <v>0</v>
      </c>
      <c r="K456" s="43">
        <v>456</v>
      </c>
      <c r="L456" s="43">
        <v>1000</v>
      </c>
      <c r="M456" s="44">
        <f t="shared" si="26"/>
        <v>1886.5</v>
      </c>
      <c r="N456" s="44">
        <f t="shared" si="27"/>
        <v>13113.5</v>
      </c>
      <c r="O456" s="88" t="s">
        <v>19</v>
      </c>
    </row>
    <row r="457" spans="1:15" s="91" customFormat="1" x14ac:dyDescent="0.25">
      <c r="A457" s="87"/>
      <c r="B457" s="88">
        <f t="shared" si="28"/>
        <v>453</v>
      </c>
      <c r="C457" s="89" t="s">
        <v>527</v>
      </c>
      <c r="D457" s="90" t="s">
        <v>356</v>
      </c>
      <c r="E457" s="89" t="s">
        <v>25</v>
      </c>
      <c r="F457" s="90" t="s">
        <v>360</v>
      </c>
      <c r="G457" s="43">
        <v>15000</v>
      </c>
      <c r="H457" s="43">
        <v>15000</v>
      </c>
      <c r="I457" s="43">
        <v>430.5</v>
      </c>
      <c r="J457" s="43">
        <v>0</v>
      </c>
      <c r="K457" s="43">
        <v>456</v>
      </c>
      <c r="L457" s="43">
        <v>2652.38</v>
      </c>
      <c r="M457" s="44">
        <f t="shared" si="26"/>
        <v>3538.88</v>
      </c>
      <c r="N457" s="44">
        <f t="shared" si="27"/>
        <v>11461.119999999999</v>
      </c>
      <c r="O457" s="88" t="s">
        <v>19</v>
      </c>
    </row>
    <row r="458" spans="1:15" s="91" customFormat="1" x14ac:dyDescent="0.25">
      <c r="A458" s="87"/>
      <c r="B458" s="88">
        <f t="shared" si="28"/>
        <v>454</v>
      </c>
      <c r="C458" s="89" t="s">
        <v>528</v>
      </c>
      <c r="D458" s="90" t="s">
        <v>356</v>
      </c>
      <c r="E458" s="89" t="s">
        <v>25</v>
      </c>
      <c r="F458" s="90" t="s">
        <v>360</v>
      </c>
      <c r="G458" s="43">
        <v>15000</v>
      </c>
      <c r="H458" s="43">
        <v>15000</v>
      </c>
      <c r="I458" s="43">
        <v>430.5</v>
      </c>
      <c r="J458" s="43">
        <v>0</v>
      </c>
      <c r="K458" s="43">
        <v>456</v>
      </c>
      <c r="L458" s="43">
        <v>31.21</v>
      </c>
      <c r="M458" s="44">
        <f t="shared" si="26"/>
        <v>917.71</v>
      </c>
      <c r="N458" s="44">
        <f t="shared" si="27"/>
        <v>14082.29</v>
      </c>
      <c r="O458" s="88" t="s">
        <v>19</v>
      </c>
    </row>
    <row r="459" spans="1:15" s="91" customFormat="1" x14ac:dyDescent="0.25">
      <c r="A459" s="87"/>
      <c r="B459" s="88">
        <f t="shared" si="28"/>
        <v>455</v>
      </c>
      <c r="C459" s="89" t="s">
        <v>529</v>
      </c>
      <c r="D459" s="90" t="s">
        <v>356</v>
      </c>
      <c r="E459" s="89" t="s">
        <v>25</v>
      </c>
      <c r="F459" s="90" t="s">
        <v>360</v>
      </c>
      <c r="G459" s="43">
        <v>15000</v>
      </c>
      <c r="H459" s="43">
        <v>15000</v>
      </c>
      <c r="I459" s="43">
        <v>430.5</v>
      </c>
      <c r="J459" s="43">
        <v>0</v>
      </c>
      <c r="K459" s="43">
        <v>456</v>
      </c>
      <c r="L459" s="43">
        <v>4203.4399999999996</v>
      </c>
      <c r="M459" s="44">
        <f t="shared" si="26"/>
        <v>5089.9399999999996</v>
      </c>
      <c r="N459" s="44">
        <f t="shared" si="27"/>
        <v>9910.0600000000013</v>
      </c>
      <c r="O459" s="88" t="s">
        <v>19</v>
      </c>
    </row>
    <row r="460" spans="1:15" s="91" customFormat="1" x14ac:dyDescent="0.25">
      <c r="A460" s="87"/>
      <c r="B460" s="88">
        <f t="shared" si="28"/>
        <v>456</v>
      </c>
      <c r="C460" s="89" t="s">
        <v>530</v>
      </c>
      <c r="D460" s="90" t="s">
        <v>356</v>
      </c>
      <c r="E460" s="89" t="s">
        <v>25</v>
      </c>
      <c r="F460" s="90" t="s">
        <v>362</v>
      </c>
      <c r="G460" s="43">
        <v>20000</v>
      </c>
      <c r="H460" s="43">
        <v>20000</v>
      </c>
      <c r="I460" s="43">
        <v>574</v>
      </c>
      <c r="J460" s="43">
        <v>0</v>
      </c>
      <c r="K460" s="43">
        <v>608</v>
      </c>
      <c r="L460" s="43">
        <v>31.21</v>
      </c>
      <c r="M460" s="44">
        <f t="shared" si="26"/>
        <v>1213.21</v>
      </c>
      <c r="N460" s="44">
        <f t="shared" si="27"/>
        <v>18786.79</v>
      </c>
      <c r="O460" s="88" t="s">
        <v>19</v>
      </c>
    </row>
    <row r="461" spans="1:15" s="91" customFormat="1" x14ac:dyDescent="0.25">
      <c r="A461" s="87"/>
      <c r="B461" s="88">
        <f t="shared" si="28"/>
        <v>457</v>
      </c>
      <c r="C461" s="89" t="s">
        <v>531</v>
      </c>
      <c r="D461" s="90" t="s">
        <v>356</v>
      </c>
      <c r="E461" s="89" t="s">
        <v>25</v>
      </c>
      <c r="F461" s="90" t="s">
        <v>357</v>
      </c>
      <c r="G461" s="43">
        <v>15000</v>
      </c>
      <c r="H461" s="43">
        <v>15000</v>
      </c>
      <c r="I461" s="43">
        <v>430.5</v>
      </c>
      <c r="J461" s="43">
        <v>0</v>
      </c>
      <c r="K461" s="43">
        <v>456</v>
      </c>
      <c r="L461" s="43">
        <v>31.21</v>
      </c>
      <c r="M461" s="44">
        <f t="shared" si="26"/>
        <v>917.71</v>
      </c>
      <c r="N461" s="44">
        <f t="shared" si="27"/>
        <v>14082.29</v>
      </c>
      <c r="O461" s="88" t="s">
        <v>19</v>
      </c>
    </row>
    <row r="462" spans="1:15" s="91" customFormat="1" x14ac:dyDescent="0.25">
      <c r="A462" s="87"/>
      <c r="B462" s="88">
        <f t="shared" si="28"/>
        <v>458</v>
      </c>
      <c r="C462" s="89" t="s">
        <v>532</v>
      </c>
      <c r="D462" s="90" t="s">
        <v>356</v>
      </c>
      <c r="E462" s="89" t="s">
        <v>25</v>
      </c>
      <c r="F462" s="90" t="s">
        <v>362</v>
      </c>
      <c r="G462" s="43">
        <v>12100</v>
      </c>
      <c r="H462" s="43">
        <v>12100</v>
      </c>
      <c r="I462" s="43">
        <v>347.27</v>
      </c>
      <c r="J462" s="43">
        <v>0</v>
      </c>
      <c r="K462" s="43">
        <v>367.84</v>
      </c>
      <c r="L462" s="43">
        <v>1330</v>
      </c>
      <c r="M462" s="44">
        <f t="shared" si="26"/>
        <v>2045.11</v>
      </c>
      <c r="N462" s="44">
        <f t="shared" si="27"/>
        <v>10054.89</v>
      </c>
      <c r="O462" s="88" t="s">
        <v>19</v>
      </c>
    </row>
    <row r="463" spans="1:15" s="91" customFormat="1" x14ac:dyDescent="0.25">
      <c r="A463" s="87"/>
      <c r="B463" s="88">
        <f t="shared" si="28"/>
        <v>459</v>
      </c>
      <c r="C463" s="89" t="s">
        <v>533</v>
      </c>
      <c r="D463" s="90" t="s">
        <v>356</v>
      </c>
      <c r="E463" s="89" t="s">
        <v>25</v>
      </c>
      <c r="F463" s="90" t="s">
        <v>362</v>
      </c>
      <c r="G463" s="43">
        <v>20000</v>
      </c>
      <c r="H463" s="43">
        <v>20000</v>
      </c>
      <c r="I463" s="43">
        <v>574</v>
      </c>
      <c r="J463" s="43">
        <v>0</v>
      </c>
      <c r="K463" s="43">
        <v>608</v>
      </c>
      <c r="L463" s="43">
        <v>5062.5</v>
      </c>
      <c r="M463" s="44">
        <f t="shared" si="26"/>
        <v>6244.5</v>
      </c>
      <c r="N463" s="44">
        <f t="shared" si="27"/>
        <v>13755.5</v>
      </c>
      <c r="O463" s="88" t="s">
        <v>19</v>
      </c>
    </row>
    <row r="464" spans="1:15" s="91" customFormat="1" x14ac:dyDescent="0.25">
      <c r="A464" s="87"/>
      <c r="B464" s="88">
        <f t="shared" si="28"/>
        <v>460</v>
      </c>
      <c r="C464" s="89" t="s">
        <v>534</v>
      </c>
      <c r="D464" s="90" t="s">
        <v>356</v>
      </c>
      <c r="E464" s="89" t="s">
        <v>25</v>
      </c>
      <c r="F464" s="90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0</v>
      </c>
      <c r="M464" s="44">
        <f t="shared" si="26"/>
        <v>886.5</v>
      </c>
      <c r="N464" s="44">
        <f t="shared" si="27"/>
        <v>14113.5</v>
      </c>
      <c r="O464" s="88" t="s">
        <v>19</v>
      </c>
    </row>
    <row r="465" spans="1:15" s="91" customFormat="1" x14ac:dyDescent="0.25">
      <c r="A465" s="87"/>
      <c r="B465" s="88">
        <f t="shared" si="28"/>
        <v>461</v>
      </c>
      <c r="C465" s="89" t="s">
        <v>535</v>
      </c>
      <c r="D465" s="90" t="s">
        <v>356</v>
      </c>
      <c r="E465" s="89" t="s">
        <v>25</v>
      </c>
      <c r="F465" s="90" t="s">
        <v>360</v>
      </c>
      <c r="G465" s="43">
        <v>15000</v>
      </c>
      <c r="H465" s="43">
        <v>15000</v>
      </c>
      <c r="I465" s="43">
        <v>430.5</v>
      </c>
      <c r="J465" s="43">
        <v>0</v>
      </c>
      <c r="K465" s="43">
        <v>456</v>
      </c>
      <c r="L465" s="43">
        <v>0</v>
      </c>
      <c r="M465" s="44">
        <f t="shared" si="26"/>
        <v>886.5</v>
      </c>
      <c r="N465" s="44">
        <f t="shared" si="27"/>
        <v>14113.5</v>
      </c>
      <c r="O465" s="88" t="s">
        <v>19</v>
      </c>
    </row>
    <row r="466" spans="1:15" s="91" customFormat="1" x14ac:dyDescent="0.25">
      <c r="A466" s="87"/>
      <c r="B466" s="88">
        <f t="shared" si="28"/>
        <v>462</v>
      </c>
      <c r="C466" s="89" t="s">
        <v>536</v>
      </c>
      <c r="D466" s="90" t="s">
        <v>356</v>
      </c>
      <c r="E466" s="89" t="s">
        <v>25</v>
      </c>
      <c r="F466" s="90" t="s">
        <v>360</v>
      </c>
      <c r="G466" s="43">
        <v>15000</v>
      </c>
      <c r="H466" s="43">
        <v>15000</v>
      </c>
      <c r="I466" s="43">
        <v>430.5</v>
      </c>
      <c r="J466" s="43">
        <v>0</v>
      </c>
      <c r="K466" s="43">
        <v>456</v>
      </c>
      <c r="L466" s="43">
        <v>0</v>
      </c>
      <c r="M466" s="44">
        <f t="shared" si="26"/>
        <v>886.5</v>
      </c>
      <c r="N466" s="44">
        <f t="shared" si="27"/>
        <v>14113.5</v>
      </c>
      <c r="O466" s="88" t="s">
        <v>19</v>
      </c>
    </row>
    <row r="467" spans="1:15" s="91" customFormat="1" x14ac:dyDescent="0.25">
      <c r="A467" s="87"/>
      <c r="B467" s="88">
        <f t="shared" si="28"/>
        <v>463</v>
      </c>
      <c r="C467" s="89" t="s">
        <v>537</v>
      </c>
      <c r="D467" s="90" t="s">
        <v>356</v>
      </c>
      <c r="E467" s="89" t="s">
        <v>25</v>
      </c>
      <c r="F467" s="90" t="s">
        <v>360</v>
      </c>
      <c r="G467" s="43">
        <v>15000</v>
      </c>
      <c r="H467" s="43">
        <v>15000</v>
      </c>
      <c r="I467" s="43">
        <v>430.5</v>
      </c>
      <c r="J467" s="43">
        <v>0</v>
      </c>
      <c r="K467" s="43">
        <v>456</v>
      </c>
      <c r="L467" s="43">
        <v>0</v>
      </c>
      <c r="M467" s="44">
        <f t="shared" si="26"/>
        <v>886.5</v>
      </c>
      <c r="N467" s="44">
        <f t="shared" si="27"/>
        <v>14113.5</v>
      </c>
      <c r="O467" s="88" t="s">
        <v>19</v>
      </c>
    </row>
    <row r="468" spans="1:15" s="91" customFormat="1" x14ac:dyDescent="0.25">
      <c r="A468" s="87"/>
      <c r="B468" s="88">
        <f t="shared" si="28"/>
        <v>464</v>
      </c>
      <c r="C468" s="89" t="s">
        <v>538</v>
      </c>
      <c r="D468" s="90" t="s">
        <v>356</v>
      </c>
      <c r="E468" s="89" t="s">
        <v>25</v>
      </c>
      <c r="F468" s="90" t="s">
        <v>360</v>
      </c>
      <c r="G468" s="43">
        <v>15000</v>
      </c>
      <c r="H468" s="43">
        <v>15000</v>
      </c>
      <c r="I468" s="43">
        <v>430.5</v>
      </c>
      <c r="J468" s="43">
        <v>0</v>
      </c>
      <c r="K468" s="43">
        <v>456</v>
      </c>
      <c r="L468" s="43">
        <v>3258.32</v>
      </c>
      <c r="M468" s="44">
        <f t="shared" si="26"/>
        <v>4144.82</v>
      </c>
      <c r="N468" s="44">
        <f t="shared" si="27"/>
        <v>10855.18</v>
      </c>
      <c r="O468" s="88" t="s">
        <v>19</v>
      </c>
    </row>
    <row r="469" spans="1:15" s="91" customFormat="1" x14ac:dyDescent="0.25">
      <c r="A469" s="87"/>
      <c r="B469" s="88">
        <f t="shared" si="28"/>
        <v>465</v>
      </c>
      <c r="C469" s="89" t="s">
        <v>539</v>
      </c>
      <c r="D469" s="90" t="s">
        <v>356</v>
      </c>
      <c r="E469" s="89" t="s">
        <v>25</v>
      </c>
      <c r="F469" s="90" t="s">
        <v>360</v>
      </c>
      <c r="G469" s="43">
        <v>10000</v>
      </c>
      <c r="H469" s="43">
        <v>10000</v>
      </c>
      <c r="I469" s="43">
        <v>287</v>
      </c>
      <c r="J469" s="43">
        <v>0</v>
      </c>
      <c r="K469" s="43">
        <v>304</v>
      </c>
      <c r="L469" s="43">
        <v>0</v>
      </c>
      <c r="M469" s="44">
        <f t="shared" si="26"/>
        <v>591</v>
      </c>
      <c r="N469" s="44">
        <f t="shared" si="27"/>
        <v>9409</v>
      </c>
      <c r="O469" s="88" t="s">
        <v>19</v>
      </c>
    </row>
    <row r="470" spans="1:15" s="91" customFormat="1" x14ac:dyDescent="0.25">
      <c r="A470" s="87"/>
      <c r="B470" s="88">
        <f t="shared" si="28"/>
        <v>466</v>
      </c>
      <c r="C470" s="89" t="s">
        <v>540</v>
      </c>
      <c r="D470" s="90" t="s">
        <v>356</v>
      </c>
      <c r="E470" s="89" t="s">
        <v>25</v>
      </c>
      <c r="F470" s="90" t="s">
        <v>360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31.21</v>
      </c>
      <c r="M470" s="44">
        <f t="shared" si="26"/>
        <v>917.71</v>
      </c>
      <c r="N470" s="44">
        <f t="shared" si="27"/>
        <v>14082.29</v>
      </c>
      <c r="O470" s="88" t="s">
        <v>19</v>
      </c>
    </row>
    <row r="471" spans="1:15" s="91" customFormat="1" x14ac:dyDescent="0.25">
      <c r="A471" s="87"/>
      <c r="B471" s="88">
        <f t="shared" si="28"/>
        <v>467</v>
      </c>
      <c r="C471" s="89" t="s">
        <v>541</v>
      </c>
      <c r="D471" s="90" t="s">
        <v>356</v>
      </c>
      <c r="E471" s="89" t="s">
        <v>25</v>
      </c>
      <c r="F471" s="90" t="s">
        <v>360</v>
      </c>
      <c r="G471" s="43">
        <v>15000</v>
      </c>
      <c r="H471" s="43">
        <v>15000</v>
      </c>
      <c r="I471" s="43">
        <v>430.5</v>
      </c>
      <c r="J471" s="43">
        <v>0</v>
      </c>
      <c r="K471" s="43">
        <v>456</v>
      </c>
      <c r="L471" s="43">
        <v>0</v>
      </c>
      <c r="M471" s="44">
        <f t="shared" si="26"/>
        <v>886.5</v>
      </c>
      <c r="N471" s="44">
        <f t="shared" si="27"/>
        <v>14113.5</v>
      </c>
      <c r="O471" s="88" t="s">
        <v>19</v>
      </c>
    </row>
    <row r="472" spans="1:15" s="91" customFormat="1" x14ac:dyDescent="0.25">
      <c r="A472" s="87"/>
      <c r="B472" s="88">
        <f t="shared" si="28"/>
        <v>468</v>
      </c>
      <c r="C472" s="89" t="s">
        <v>542</v>
      </c>
      <c r="D472" s="90" t="s">
        <v>356</v>
      </c>
      <c r="E472" s="89" t="s">
        <v>25</v>
      </c>
      <c r="F472" s="90" t="s">
        <v>360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88" t="s">
        <v>19</v>
      </c>
    </row>
    <row r="473" spans="1:15" s="91" customFormat="1" x14ac:dyDescent="0.25">
      <c r="A473" s="87"/>
      <c r="B473" s="88">
        <f t="shared" si="28"/>
        <v>469</v>
      </c>
      <c r="C473" s="89" t="s">
        <v>543</v>
      </c>
      <c r="D473" s="90" t="s">
        <v>356</v>
      </c>
      <c r="E473" s="89" t="s">
        <v>25</v>
      </c>
      <c r="F473" s="90" t="s">
        <v>360</v>
      </c>
      <c r="G473" s="43">
        <v>15000</v>
      </c>
      <c r="H473" s="43">
        <v>15000</v>
      </c>
      <c r="I473" s="43">
        <v>430.5</v>
      </c>
      <c r="J473" s="43">
        <v>0</v>
      </c>
      <c r="K473" s="43">
        <v>456</v>
      </c>
      <c r="L473" s="43">
        <v>0</v>
      </c>
      <c r="M473" s="44">
        <f t="shared" si="26"/>
        <v>886.5</v>
      </c>
      <c r="N473" s="44">
        <f t="shared" si="27"/>
        <v>14113.5</v>
      </c>
      <c r="O473" s="88" t="s">
        <v>19</v>
      </c>
    </row>
    <row r="474" spans="1:15" s="91" customFormat="1" x14ac:dyDescent="0.25">
      <c r="A474" s="87"/>
      <c r="B474" s="88">
        <f t="shared" si="28"/>
        <v>470</v>
      </c>
      <c r="C474" s="89" t="s">
        <v>544</v>
      </c>
      <c r="D474" s="90" t="s">
        <v>356</v>
      </c>
      <c r="E474" s="89" t="s">
        <v>25</v>
      </c>
      <c r="F474" s="90" t="s">
        <v>360</v>
      </c>
      <c r="G474" s="43">
        <v>15000</v>
      </c>
      <c r="H474" s="43">
        <v>15000</v>
      </c>
      <c r="I474" s="43">
        <v>430.5</v>
      </c>
      <c r="J474" s="43">
        <v>0</v>
      </c>
      <c r="K474" s="43">
        <v>456</v>
      </c>
      <c r="L474" s="43">
        <v>0</v>
      </c>
      <c r="M474" s="44">
        <f t="shared" si="26"/>
        <v>886.5</v>
      </c>
      <c r="N474" s="44">
        <f t="shared" si="27"/>
        <v>14113.5</v>
      </c>
      <c r="O474" s="88" t="s">
        <v>19</v>
      </c>
    </row>
    <row r="475" spans="1:15" s="91" customFormat="1" x14ac:dyDescent="0.25">
      <c r="A475" s="87"/>
      <c r="B475" s="88">
        <f t="shared" si="28"/>
        <v>471</v>
      </c>
      <c r="C475" s="89" t="s">
        <v>545</v>
      </c>
      <c r="D475" s="90" t="s">
        <v>356</v>
      </c>
      <c r="E475" s="89" t="s">
        <v>25</v>
      </c>
      <c r="F475" s="90" t="s">
        <v>362</v>
      </c>
      <c r="G475" s="43">
        <v>15000</v>
      </c>
      <c r="H475" s="43">
        <v>15000</v>
      </c>
      <c r="I475" s="43">
        <v>430.5</v>
      </c>
      <c r="J475" s="43">
        <v>0</v>
      </c>
      <c r="K475" s="43">
        <v>456</v>
      </c>
      <c r="L475" s="43">
        <v>0</v>
      </c>
      <c r="M475" s="44">
        <f t="shared" si="26"/>
        <v>886.5</v>
      </c>
      <c r="N475" s="44">
        <f t="shared" si="27"/>
        <v>14113.5</v>
      </c>
      <c r="O475" s="88" t="s">
        <v>19</v>
      </c>
    </row>
    <row r="476" spans="1:15" s="91" customFormat="1" x14ac:dyDescent="0.25">
      <c r="A476" s="87"/>
      <c r="B476" s="88">
        <f t="shared" si="28"/>
        <v>472</v>
      </c>
      <c r="C476" s="89" t="s">
        <v>546</v>
      </c>
      <c r="D476" s="90" t="s">
        <v>356</v>
      </c>
      <c r="E476" s="89" t="s">
        <v>25</v>
      </c>
      <c r="F476" s="90" t="s">
        <v>357</v>
      </c>
      <c r="G476" s="43">
        <v>15000</v>
      </c>
      <c r="H476" s="43">
        <v>15000</v>
      </c>
      <c r="I476" s="43">
        <v>430.5</v>
      </c>
      <c r="J476" s="43">
        <v>0</v>
      </c>
      <c r="K476" s="43">
        <v>456</v>
      </c>
      <c r="L476" s="43">
        <v>0</v>
      </c>
      <c r="M476" s="44">
        <f t="shared" si="26"/>
        <v>886.5</v>
      </c>
      <c r="N476" s="44">
        <f t="shared" si="27"/>
        <v>14113.5</v>
      </c>
      <c r="O476" s="88" t="s">
        <v>19</v>
      </c>
    </row>
    <row r="477" spans="1:15" s="91" customFormat="1" x14ac:dyDescent="0.25">
      <c r="A477" s="87"/>
      <c r="B477" s="88">
        <f t="shared" si="28"/>
        <v>473</v>
      </c>
      <c r="C477" s="89" t="s">
        <v>547</v>
      </c>
      <c r="D477" s="90" t="s">
        <v>356</v>
      </c>
      <c r="E477" s="89" t="s">
        <v>25</v>
      </c>
      <c r="F477" s="90" t="s">
        <v>360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2000</v>
      </c>
      <c r="M477" s="44">
        <f t="shared" si="26"/>
        <v>2886.5</v>
      </c>
      <c r="N477" s="44">
        <f t="shared" si="27"/>
        <v>12113.5</v>
      </c>
      <c r="O477" s="88" t="s">
        <v>19</v>
      </c>
    </row>
    <row r="478" spans="1:15" s="91" customFormat="1" x14ac:dyDescent="0.25">
      <c r="A478" s="87"/>
      <c r="B478" s="88">
        <f>+B477+1</f>
        <v>474</v>
      </c>
      <c r="C478" s="89" t="s">
        <v>548</v>
      </c>
      <c r="D478" s="90" t="s">
        <v>356</v>
      </c>
      <c r="E478" s="89" t="s">
        <v>25</v>
      </c>
      <c r="F478" s="90" t="s">
        <v>362</v>
      </c>
      <c r="G478" s="43">
        <v>15000</v>
      </c>
      <c r="H478" s="43">
        <v>15000</v>
      </c>
      <c r="I478" s="43">
        <v>430.5</v>
      </c>
      <c r="J478" s="43">
        <v>0</v>
      </c>
      <c r="K478" s="43">
        <v>456</v>
      </c>
      <c r="L478" s="43">
        <v>0</v>
      </c>
      <c r="M478" s="44">
        <f t="shared" si="26"/>
        <v>886.5</v>
      </c>
      <c r="N478" s="44">
        <f t="shared" si="27"/>
        <v>14113.5</v>
      </c>
      <c r="O478" s="88" t="s">
        <v>19</v>
      </c>
    </row>
    <row r="479" spans="1:15" s="91" customFormat="1" ht="22.5" x14ac:dyDescent="0.25">
      <c r="A479" s="87"/>
      <c r="B479" s="88">
        <f t="shared" si="28"/>
        <v>475</v>
      </c>
      <c r="C479" s="89" t="s">
        <v>549</v>
      </c>
      <c r="D479" s="90" t="s">
        <v>356</v>
      </c>
      <c r="E479" s="89" t="s">
        <v>25</v>
      </c>
      <c r="F479" s="90" t="s">
        <v>373</v>
      </c>
      <c r="G479" s="43">
        <v>20000</v>
      </c>
      <c r="H479" s="43">
        <v>20000</v>
      </c>
      <c r="I479" s="43">
        <v>574</v>
      </c>
      <c r="J479" s="43">
        <v>0</v>
      </c>
      <c r="K479" s="43">
        <v>608</v>
      </c>
      <c r="L479" s="43">
        <v>0</v>
      </c>
      <c r="M479" s="44">
        <f t="shared" si="26"/>
        <v>1182</v>
      </c>
      <c r="N479" s="44">
        <f t="shared" si="27"/>
        <v>18818</v>
      </c>
      <c r="O479" s="88" t="s">
        <v>19</v>
      </c>
    </row>
    <row r="480" spans="1:15" s="91" customFormat="1" x14ac:dyDescent="0.25">
      <c r="A480" s="87"/>
      <c r="B480" s="88">
        <f t="shared" si="28"/>
        <v>476</v>
      </c>
      <c r="C480" s="89" t="s">
        <v>550</v>
      </c>
      <c r="D480" s="90" t="s">
        <v>356</v>
      </c>
      <c r="E480" s="89" t="s">
        <v>25</v>
      </c>
      <c r="F480" s="90" t="s">
        <v>360</v>
      </c>
      <c r="G480" s="43">
        <v>15000</v>
      </c>
      <c r="H480" s="43">
        <v>15000</v>
      </c>
      <c r="I480" s="43">
        <v>430.5</v>
      </c>
      <c r="J480" s="43">
        <v>0</v>
      </c>
      <c r="K480" s="43">
        <v>456</v>
      </c>
      <c r="L480" s="43">
        <v>0</v>
      </c>
      <c r="M480" s="44">
        <f t="shared" si="26"/>
        <v>886.5</v>
      </c>
      <c r="N480" s="44">
        <f t="shared" si="27"/>
        <v>14113.5</v>
      </c>
      <c r="O480" s="88" t="s">
        <v>19</v>
      </c>
    </row>
    <row r="481" spans="1:15" s="91" customFormat="1" x14ac:dyDescent="0.25">
      <c r="A481" s="87"/>
      <c r="B481" s="88">
        <f t="shared" si="28"/>
        <v>477</v>
      </c>
      <c r="C481" s="89" t="s">
        <v>551</v>
      </c>
      <c r="D481" s="90" t="s">
        <v>356</v>
      </c>
      <c r="E481" s="89" t="s">
        <v>25</v>
      </c>
      <c r="F481" s="90" t="s">
        <v>360</v>
      </c>
      <c r="G481" s="43">
        <v>12000</v>
      </c>
      <c r="H481" s="43">
        <v>12000</v>
      </c>
      <c r="I481" s="43">
        <v>344.4</v>
      </c>
      <c r="J481" s="43">
        <v>0</v>
      </c>
      <c r="K481" s="43">
        <v>364.8</v>
      </c>
      <c r="L481" s="43">
        <v>0</v>
      </c>
      <c r="M481" s="44">
        <f t="shared" si="26"/>
        <v>709.2</v>
      </c>
      <c r="N481" s="44">
        <f t="shared" si="27"/>
        <v>11290.8</v>
      </c>
      <c r="O481" s="88" t="s">
        <v>19</v>
      </c>
    </row>
    <row r="482" spans="1:15" s="91" customFormat="1" x14ac:dyDescent="0.25">
      <c r="A482" s="87"/>
      <c r="B482" s="88">
        <f t="shared" si="28"/>
        <v>478</v>
      </c>
      <c r="C482" s="89" t="s">
        <v>552</v>
      </c>
      <c r="D482" s="90" t="s">
        <v>356</v>
      </c>
      <c r="E482" s="89" t="s">
        <v>25</v>
      </c>
      <c r="F482" s="90" t="s">
        <v>357</v>
      </c>
      <c r="G482" s="43">
        <v>15000</v>
      </c>
      <c r="H482" s="43">
        <v>15000</v>
      </c>
      <c r="I482" s="43">
        <v>430.5</v>
      </c>
      <c r="J482" s="43">
        <v>0</v>
      </c>
      <c r="K482" s="43">
        <v>456</v>
      </c>
      <c r="L482" s="43">
        <v>0</v>
      </c>
      <c r="M482" s="44">
        <f t="shared" si="26"/>
        <v>886.5</v>
      </c>
      <c r="N482" s="44">
        <f t="shared" si="27"/>
        <v>14113.5</v>
      </c>
      <c r="O482" s="88" t="s">
        <v>19</v>
      </c>
    </row>
    <row r="483" spans="1:15" s="91" customFormat="1" x14ac:dyDescent="0.25">
      <c r="A483" s="87"/>
      <c r="B483" s="88">
        <f t="shared" si="28"/>
        <v>479</v>
      </c>
      <c r="C483" s="89" t="s">
        <v>553</v>
      </c>
      <c r="D483" s="90" t="s">
        <v>356</v>
      </c>
      <c r="E483" s="89" t="s">
        <v>25</v>
      </c>
      <c r="F483" s="90" t="s">
        <v>360</v>
      </c>
      <c r="G483" s="43">
        <v>15000</v>
      </c>
      <c r="H483" s="43">
        <v>15000</v>
      </c>
      <c r="I483" s="43">
        <v>430.5</v>
      </c>
      <c r="J483" s="43">
        <v>0</v>
      </c>
      <c r="K483" s="43">
        <v>456</v>
      </c>
      <c r="L483" s="43">
        <v>1998.04</v>
      </c>
      <c r="M483" s="44">
        <f t="shared" si="26"/>
        <v>2884.54</v>
      </c>
      <c r="N483" s="44">
        <f t="shared" si="27"/>
        <v>12115.46</v>
      </c>
      <c r="O483" s="88" t="s">
        <v>19</v>
      </c>
    </row>
    <row r="484" spans="1:15" s="91" customFormat="1" x14ac:dyDescent="0.25">
      <c r="A484" s="87"/>
      <c r="B484" s="88">
        <f t="shared" si="28"/>
        <v>480</v>
      </c>
      <c r="C484" s="89" t="s">
        <v>554</v>
      </c>
      <c r="D484" s="90" t="s">
        <v>356</v>
      </c>
      <c r="E484" s="89" t="s">
        <v>25</v>
      </c>
      <c r="F484" s="90" t="s">
        <v>360</v>
      </c>
      <c r="G484" s="43">
        <v>15000</v>
      </c>
      <c r="H484" s="43">
        <v>15000</v>
      </c>
      <c r="I484" s="43">
        <v>430.5</v>
      </c>
      <c r="J484" s="43">
        <v>0</v>
      </c>
      <c r="K484" s="43">
        <v>456</v>
      </c>
      <c r="L484" s="43">
        <v>0</v>
      </c>
      <c r="M484" s="44">
        <f t="shared" si="26"/>
        <v>886.5</v>
      </c>
      <c r="N484" s="44">
        <f t="shared" si="27"/>
        <v>14113.5</v>
      </c>
      <c r="O484" s="88" t="s">
        <v>19</v>
      </c>
    </row>
    <row r="485" spans="1:15" s="91" customFormat="1" x14ac:dyDescent="0.25">
      <c r="A485" s="87"/>
      <c r="B485" s="88">
        <f t="shared" si="28"/>
        <v>481</v>
      </c>
      <c r="C485" s="89" t="s">
        <v>555</v>
      </c>
      <c r="D485" s="90" t="s">
        <v>356</v>
      </c>
      <c r="E485" s="89" t="s">
        <v>25</v>
      </c>
      <c r="F485" s="90" t="s">
        <v>357</v>
      </c>
      <c r="G485" s="43">
        <v>15000</v>
      </c>
      <c r="H485" s="43">
        <v>15000</v>
      </c>
      <c r="I485" s="43">
        <v>430.5</v>
      </c>
      <c r="J485" s="43">
        <v>0</v>
      </c>
      <c r="K485" s="43">
        <v>456</v>
      </c>
      <c r="L485" s="43">
        <v>5452.1</v>
      </c>
      <c r="M485" s="44">
        <f t="shared" si="26"/>
        <v>6338.6</v>
      </c>
      <c r="N485" s="44">
        <f t="shared" si="27"/>
        <v>8661.4</v>
      </c>
      <c r="O485" s="88" t="s">
        <v>19</v>
      </c>
    </row>
    <row r="486" spans="1:15" s="91" customFormat="1" x14ac:dyDescent="0.25">
      <c r="A486" s="87"/>
      <c r="B486" s="88">
        <f t="shared" si="28"/>
        <v>482</v>
      </c>
      <c r="C486" s="89" t="s">
        <v>556</v>
      </c>
      <c r="D486" s="90" t="s">
        <v>356</v>
      </c>
      <c r="E486" s="89" t="s">
        <v>25</v>
      </c>
      <c r="F486" s="90" t="s">
        <v>360</v>
      </c>
      <c r="G486" s="43">
        <v>15000</v>
      </c>
      <c r="H486" s="43">
        <v>15000</v>
      </c>
      <c r="I486" s="43">
        <v>430.5</v>
      </c>
      <c r="J486" s="43">
        <v>0</v>
      </c>
      <c r="K486" s="43">
        <v>456</v>
      </c>
      <c r="L486" s="43">
        <v>1992.04</v>
      </c>
      <c r="M486" s="44">
        <f t="shared" si="26"/>
        <v>2878.54</v>
      </c>
      <c r="N486" s="44">
        <f t="shared" si="27"/>
        <v>12121.46</v>
      </c>
      <c r="O486" s="88" t="s">
        <v>19</v>
      </c>
    </row>
    <row r="487" spans="1:15" s="91" customFormat="1" x14ac:dyDescent="0.25">
      <c r="A487" s="87"/>
      <c r="B487" s="88">
        <f t="shared" si="28"/>
        <v>483</v>
      </c>
      <c r="C487" s="89" t="s">
        <v>557</v>
      </c>
      <c r="D487" s="90" t="s">
        <v>356</v>
      </c>
      <c r="E487" s="89" t="s">
        <v>25</v>
      </c>
      <c r="F487" s="90" t="s">
        <v>357</v>
      </c>
      <c r="G487" s="43">
        <v>15000</v>
      </c>
      <c r="H487" s="43">
        <v>15000</v>
      </c>
      <c r="I487" s="43">
        <v>430.5</v>
      </c>
      <c r="J487" s="43">
        <v>0</v>
      </c>
      <c r="K487" s="43">
        <v>456</v>
      </c>
      <c r="L487" s="43">
        <v>0</v>
      </c>
      <c r="M487" s="44">
        <f t="shared" ref="M487:M493" si="29">SUM(I487:L487)</f>
        <v>886.5</v>
      </c>
      <c r="N487" s="44">
        <f t="shared" ref="N487:N493" si="30">G487-M487</f>
        <v>14113.5</v>
      </c>
      <c r="O487" s="88" t="s">
        <v>19</v>
      </c>
    </row>
    <row r="488" spans="1:15" s="91" customFormat="1" x14ac:dyDescent="0.25">
      <c r="A488" s="87"/>
      <c r="B488" s="88">
        <f t="shared" si="28"/>
        <v>484</v>
      </c>
      <c r="C488" s="89" t="s">
        <v>558</v>
      </c>
      <c r="D488" s="90" t="s">
        <v>356</v>
      </c>
      <c r="E488" s="89" t="s">
        <v>25</v>
      </c>
      <c r="F488" s="90" t="s">
        <v>360</v>
      </c>
      <c r="G488" s="43">
        <v>10000</v>
      </c>
      <c r="H488" s="43">
        <v>10000</v>
      </c>
      <c r="I488" s="43">
        <v>287</v>
      </c>
      <c r="J488" s="43">
        <v>0</v>
      </c>
      <c r="K488" s="43">
        <v>304</v>
      </c>
      <c r="L488" s="43">
        <v>1000</v>
      </c>
      <c r="M488" s="44">
        <f t="shared" si="29"/>
        <v>1591</v>
      </c>
      <c r="N488" s="44">
        <f t="shared" si="30"/>
        <v>8409</v>
      </c>
      <c r="O488" s="88" t="s">
        <v>19</v>
      </c>
    </row>
    <row r="489" spans="1:15" s="91" customFormat="1" x14ac:dyDescent="0.25">
      <c r="A489" s="87"/>
      <c r="B489" s="88">
        <f>B488+1</f>
        <v>485</v>
      </c>
      <c r="C489" s="89" t="s">
        <v>559</v>
      </c>
      <c r="D489" s="90" t="s">
        <v>356</v>
      </c>
      <c r="E489" s="89" t="s">
        <v>25</v>
      </c>
      <c r="F489" s="90" t="s">
        <v>360</v>
      </c>
      <c r="G489" s="43">
        <v>1333.33</v>
      </c>
      <c r="H489" s="43">
        <v>1333.33</v>
      </c>
      <c r="I489" s="43">
        <v>38.270000000000003</v>
      </c>
      <c r="J489" s="43">
        <v>0</v>
      </c>
      <c r="K489" s="43">
        <v>40.53</v>
      </c>
      <c r="L489" s="43">
        <v>0</v>
      </c>
      <c r="M489" s="44">
        <f>I489+J489+K489+L489</f>
        <v>78.800000000000011</v>
      </c>
      <c r="N489" s="44">
        <f>G489-M489</f>
        <v>1254.53</v>
      </c>
      <c r="O489" s="88" t="s">
        <v>19</v>
      </c>
    </row>
    <row r="490" spans="1:15" s="91" customFormat="1" ht="22.5" x14ac:dyDescent="0.25">
      <c r="A490" s="87"/>
      <c r="B490" s="88">
        <f>B489+1</f>
        <v>486</v>
      </c>
      <c r="C490" s="89" t="s">
        <v>560</v>
      </c>
      <c r="D490" s="90" t="s">
        <v>356</v>
      </c>
      <c r="E490" s="89" t="s">
        <v>25</v>
      </c>
      <c r="F490" s="90" t="s">
        <v>373</v>
      </c>
      <c r="G490" s="43">
        <v>18100</v>
      </c>
      <c r="H490" s="43">
        <v>18100</v>
      </c>
      <c r="I490" s="43">
        <v>519.47</v>
      </c>
      <c r="J490" s="43">
        <v>0</v>
      </c>
      <c r="K490" s="43">
        <v>550.24</v>
      </c>
      <c r="L490" s="43">
        <v>1000</v>
      </c>
      <c r="M490" s="44">
        <f t="shared" si="29"/>
        <v>2069.71</v>
      </c>
      <c r="N490" s="44">
        <f t="shared" si="30"/>
        <v>16030.29</v>
      </c>
      <c r="O490" s="88" t="s">
        <v>19</v>
      </c>
    </row>
    <row r="491" spans="1:15" s="91" customFormat="1" x14ac:dyDescent="0.25">
      <c r="A491" s="87"/>
      <c r="B491" s="88">
        <f t="shared" si="28"/>
        <v>487</v>
      </c>
      <c r="C491" s="89" t="s">
        <v>561</v>
      </c>
      <c r="D491" s="90" t="s">
        <v>356</v>
      </c>
      <c r="E491" s="89" t="s">
        <v>25</v>
      </c>
      <c r="F491" s="90" t="s">
        <v>360</v>
      </c>
      <c r="G491" s="43">
        <v>10000</v>
      </c>
      <c r="H491" s="43">
        <v>10000</v>
      </c>
      <c r="I491" s="43">
        <v>287</v>
      </c>
      <c r="J491" s="43">
        <v>0</v>
      </c>
      <c r="K491" s="43">
        <v>304</v>
      </c>
      <c r="L491" s="43">
        <v>0</v>
      </c>
      <c r="M491" s="44">
        <f t="shared" si="29"/>
        <v>591</v>
      </c>
      <c r="N491" s="44">
        <f t="shared" si="30"/>
        <v>9409</v>
      </c>
      <c r="O491" s="88" t="s">
        <v>19</v>
      </c>
    </row>
    <row r="492" spans="1:15" s="39" customFormat="1" ht="15.75" customHeight="1" x14ac:dyDescent="0.25">
      <c r="A492" s="12"/>
      <c r="B492" s="81">
        <f t="shared" si="28"/>
        <v>488</v>
      </c>
      <c r="C492" s="82" t="s">
        <v>562</v>
      </c>
      <c r="D492" s="83" t="s">
        <v>356</v>
      </c>
      <c r="E492" s="82" t="s">
        <v>25</v>
      </c>
      <c r="F492" s="83" t="s">
        <v>360</v>
      </c>
      <c r="G492" s="84">
        <v>15000</v>
      </c>
      <c r="H492" s="84">
        <v>15000</v>
      </c>
      <c r="I492" s="84">
        <v>430.5</v>
      </c>
      <c r="J492" s="84">
        <v>0</v>
      </c>
      <c r="K492" s="84">
        <v>456</v>
      </c>
      <c r="L492" s="84">
        <v>5175.0200000000004</v>
      </c>
      <c r="M492" s="85">
        <f t="shared" si="29"/>
        <v>6061.52</v>
      </c>
      <c r="N492" s="85">
        <f t="shared" si="30"/>
        <v>8938.48</v>
      </c>
      <c r="O492" s="81" t="s">
        <v>23</v>
      </c>
    </row>
    <row r="493" spans="1:15" s="91" customFormat="1" x14ac:dyDescent="0.25">
      <c r="A493" s="87"/>
      <c r="B493" s="88">
        <f>B492+1</f>
        <v>489</v>
      </c>
      <c r="C493" s="89" t="s">
        <v>586</v>
      </c>
      <c r="D493" s="90" t="s">
        <v>356</v>
      </c>
      <c r="E493" s="89" t="s">
        <v>25</v>
      </c>
      <c r="F493" s="90" t="s">
        <v>360</v>
      </c>
      <c r="G493" s="43">
        <v>1333.33</v>
      </c>
      <c r="H493" s="43">
        <v>1333.33</v>
      </c>
      <c r="I493" s="43">
        <v>38.270000000000003</v>
      </c>
      <c r="J493" s="43">
        <v>0</v>
      </c>
      <c r="K493" s="43">
        <v>40.53</v>
      </c>
      <c r="L493" s="43">
        <v>0</v>
      </c>
      <c r="M493" s="44">
        <f t="shared" si="29"/>
        <v>78.800000000000011</v>
      </c>
      <c r="N493" s="44">
        <f t="shared" si="30"/>
        <v>1254.53</v>
      </c>
      <c r="O493" s="88" t="s">
        <v>19</v>
      </c>
    </row>
    <row r="494" spans="1:15" s="91" customFormat="1" x14ac:dyDescent="0.25">
      <c r="A494" s="87"/>
      <c r="B494" s="88">
        <f>B493+1</f>
        <v>490</v>
      </c>
      <c r="C494" s="89" t="s">
        <v>563</v>
      </c>
      <c r="D494" s="90" t="s">
        <v>564</v>
      </c>
      <c r="E494" s="89" t="s">
        <v>25</v>
      </c>
      <c r="F494" s="90" t="s">
        <v>565</v>
      </c>
      <c r="G494" s="43">
        <v>25000</v>
      </c>
      <c r="H494" s="43">
        <v>25000</v>
      </c>
      <c r="I494" s="43">
        <v>717.5</v>
      </c>
      <c r="J494" s="43">
        <v>0</v>
      </c>
      <c r="K494" s="43">
        <v>760</v>
      </c>
      <c r="L494" s="43">
        <v>31.21</v>
      </c>
      <c r="M494" s="44">
        <f t="shared" ref="M494:M504" si="31">SUM(I494:L494)</f>
        <v>1508.71</v>
      </c>
      <c r="N494" s="44">
        <f t="shared" ref="N494:N501" si="32">G494-M494</f>
        <v>23491.29</v>
      </c>
      <c r="O494" s="88" t="s">
        <v>23</v>
      </c>
    </row>
    <row r="495" spans="1:15" s="91" customFormat="1" x14ac:dyDescent="0.25">
      <c r="A495" s="87"/>
      <c r="B495" s="88">
        <f t="shared" si="28"/>
        <v>491</v>
      </c>
      <c r="C495" s="89" t="s">
        <v>566</v>
      </c>
      <c r="D495" s="90" t="s">
        <v>564</v>
      </c>
      <c r="E495" s="89" t="s">
        <v>25</v>
      </c>
      <c r="F495" s="90" t="s">
        <v>565</v>
      </c>
      <c r="G495" s="43">
        <v>25000</v>
      </c>
      <c r="H495" s="43">
        <v>25000</v>
      </c>
      <c r="I495" s="43">
        <v>717.5</v>
      </c>
      <c r="J495" s="43">
        <v>0</v>
      </c>
      <c r="K495" s="43">
        <v>760</v>
      </c>
      <c r="L495" s="43">
        <f>3301.64+31.21+1800+5273.55+3430.92+1142.91</f>
        <v>14980.230000000001</v>
      </c>
      <c r="M495" s="44">
        <f t="shared" si="31"/>
        <v>16457.730000000003</v>
      </c>
      <c r="N495" s="44">
        <f t="shared" si="32"/>
        <v>8542.2699999999968</v>
      </c>
      <c r="O495" s="88" t="s">
        <v>19</v>
      </c>
    </row>
    <row r="496" spans="1:15" s="91" customFormat="1" x14ac:dyDescent="0.25">
      <c r="A496" s="87"/>
      <c r="B496" s="88">
        <f t="shared" si="28"/>
        <v>492</v>
      </c>
      <c r="C496" s="89" t="s">
        <v>567</v>
      </c>
      <c r="D496" s="90" t="s">
        <v>564</v>
      </c>
      <c r="E496" s="89" t="s">
        <v>25</v>
      </c>
      <c r="F496" s="90" t="s">
        <v>565</v>
      </c>
      <c r="G496" s="43">
        <v>15400</v>
      </c>
      <c r="H496" s="43">
        <v>15400</v>
      </c>
      <c r="I496" s="43">
        <v>441.98</v>
      </c>
      <c r="J496" s="43">
        <v>0</v>
      </c>
      <c r="K496" s="43">
        <v>468.16</v>
      </c>
      <c r="L496" s="43">
        <f>31.21+1000+2988.35</f>
        <v>4019.56</v>
      </c>
      <c r="M496" s="44">
        <f t="shared" si="31"/>
        <v>4929.7</v>
      </c>
      <c r="N496" s="44">
        <f t="shared" si="32"/>
        <v>10470.299999999999</v>
      </c>
      <c r="O496" s="88" t="s">
        <v>23</v>
      </c>
    </row>
    <row r="497" spans="1:15" s="91" customFormat="1" x14ac:dyDescent="0.25">
      <c r="A497" s="87"/>
      <c r="B497" s="88">
        <f t="shared" si="28"/>
        <v>493</v>
      </c>
      <c r="C497" s="89" t="s">
        <v>568</v>
      </c>
      <c r="D497" s="90" t="s">
        <v>564</v>
      </c>
      <c r="E497" s="89" t="s">
        <v>25</v>
      </c>
      <c r="F497" s="90" t="s">
        <v>569</v>
      </c>
      <c r="G497" s="43">
        <v>25000</v>
      </c>
      <c r="H497" s="43">
        <v>25000</v>
      </c>
      <c r="I497" s="43">
        <v>717.5</v>
      </c>
      <c r="J497" s="43">
        <v>0</v>
      </c>
      <c r="K497" s="43">
        <v>760</v>
      </c>
      <c r="L497" s="43">
        <v>0</v>
      </c>
      <c r="M497" s="44">
        <f t="shared" si="31"/>
        <v>1477.5</v>
      </c>
      <c r="N497" s="44">
        <f t="shared" si="32"/>
        <v>23522.5</v>
      </c>
      <c r="O497" s="88" t="s">
        <v>19</v>
      </c>
    </row>
    <row r="498" spans="1:15" s="91" customFormat="1" x14ac:dyDescent="0.25">
      <c r="A498" s="87"/>
      <c r="B498" s="88">
        <f t="shared" si="28"/>
        <v>494</v>
      </c>
      <c r="C498" s="89" t="s">
        <v>570</v>
      </c>
      <c r="D498" s="90" t="s">
        <v>571</v>
      </c>
      <c r="E498" s="89" t="s">
        <v>25</v>
      </c>
      <c r="F498" s="90" t="s">
        <v>572</v>
      </c>
      <c r="G498" s="43">
        <v>19000</v>
      </c>
      <c r="H498" s="43">
        <v>19000</v>
      </c>
      <c r="I498" s="43">
        <v>545.29999999999995</v>
      </c>
      <c r="J498" s="43">
        <v>0</v>
      </c>
      <c r="K498" s="43">
        <v>577.6</v>
      </c>
      <c r="L498" s="43">
        <f>415.86+31.21+1000+8132.42+2637.48</f>
        <v>12216.97</v>
      </c>
      <c r="M498" s="44">
        <f t="shared" si="31"/>
        <v>13339.869999999999</v>
      </c>
      <c r="N498" s="44">
        <f t="shared" si="32"/>
        <v>5660.130000000001</v>
      </c>
      <c r="O498" s="88" t="s">
        <v>19</v>
      </c>
    </row>
    <row r="499" spans="1:15" s="91" customFormat="1" x14ac:dyDescent="0.25">
      <c r="A499" s="87"/>
      <c r="B499" s="88">
        <f t="shared" si="28"/>
        <v>495</v>
      </c>
      <c r="C499" s="89" t="s">
        <v>573</v>
      </c>
      <c r="D499" s="90" t="s">
        <v>571</v>
      </c>
      <c r="E499" s="89" t="s">
        <v>25</v>
      </c>
      <c r="F499" s="90" t="s">
        <v>572</v>
      </c>
      <c r="G499" s="43">
        <v>41000</v>
      </c>
      <c r="H499" s="43">
        <v>41000</v>
      </c>
      <c r="I499" s="43">
        <v>1176.7</v>
      </c>
      <c r="J499" s="43">
        <v>583.79</v>
      </c>
      <c r="K499" s="43">
        <v>1246.4000000000001</v>
      </c>
      <c r="L499" s="43">
        <f>10906.78-5875.57+2637.48</f>
        <v>7668.6900000000005</v>
      </c>
      <c r="M499" s="44">
        <f t="shared" si="31"/>
        <v>10675.580000000002</v>
      </c>
      <c r="N499" s="44">
        <f t="shared" si="32"/>
        <v>30324.42</v>
      </c>
      <c r="O499" s="88" t="s">
        <v>23</v>
      </c>
    </row>
    <row r="500" spans="1:15" s="91" customFormat="1" x14ac:dyDescent="0.25">
      <c r="A500" s="87"/>
      <c r="B500" s="88">
        <f t="shared" si="28"/>
        <v>496</v>
      </c>
      <c r="C500" s="89" t="s">
        <v>574</v>
      </c>
      <c r="D500" s="90" t="s">
        <v>571</v>
      </c>
      <c r="E500" s="89" t="s">
        <v>25</v>
      </c>
      <c r="F500" s="90" t="s">
        <v>572</v>
      </c>
      <c r="G500" s="43">
        <v>19000</v>
      </c>
      <c r="H500" s="43">
        <v>19000</v>
      </c>
      <c r="I500" s="43">
        <v>545.29999999999995</v>
      </c>
      <c r="J500" s="43">
        <v>0</v>
      </c>
      <c r="K500" s="43">
        <v>577.6</v>
      </c>
      <c r="L500" s="43">
        <v>6174.09</v>
      </c>
      <c r="M500" s="44">
        <f t="shared" si="31"/>
        <v>7296.99</v>
      </c>
      <c r="N500" s="44">
        <f t="shared" si="32"/>
        <v>11703.01</v>
      </c>
      <c r="O500" s="88" t="s">
        <v>23</v>
      </c>
    </row>
    <row r="501" spans="1:15" s="91" customFormat="1" x14ac:dyDescent="0.25">
      <c r="A501" s="87"/>
      <c r="B501" s="88">
        <f>+B500+1</f>
        <v>497</v>
      </c>
      <c r="C501" s="89" t="s">
        <v>575</v>
      </c>
      <c r="D501" s="90" t="s">
        <v>571</v>
      </c>
      <c r="E501" s="89" t="s">
        <v>25</v>
      </c>
      <c r="F501" s="90" t="s">
        <v>572</v>
      </c>
      <c r="G501" s="43">
        <v>10000</v>
      </c>
      <c r="H501" s="43">
        <v>10000</v>
      </c>
      <c r="I501" s="43">
        <v>287</v>
      </c>
      <c r="J501" s="43">
        <v>0</v>
      </c>
      <c r="K501" s="43">
        <v>304</v>
      </c>
      <c r="L501" s="43">
        <f>31.21+500</f>
        <v>531.21</v>
      </c>
      <c r="M501" s="44">
        <f t="shared" si="31"/>
        <v>1122.21</v>
      </c>
      <c r="N501" s="44">
        <f t="shared" si="32"/>
        <v>8877.7900000000009</v>
      </c>
      <c r="O501" s="88" t="s">
        <v>23</v>
      </c>
    </row>
    <row r="502" spans="1:15" s="91" customFormat="1" x14ac:dyDescent="0.25">
      <c r="A502" s="87"/>
      <c r="B502" s="88">
        <f t="shared" si="28"/>
        <v>498</v>
      </c>
      <c r="C502" s="89" t="s">
        <v>634</v>
      </c>
      <c r="D502" s="90" t="s">
        <v>252</v>
      </c>
      <c r="E502" s="89" t="s">
        <v>21</v>
      </c>
      <c r="F502" s="90" t="s">
        <v>253</v>
      </c>
      <c r="G502" s="45">
        <v>75000</v>
      </c>
      <c r="H502" s="43">
        <v>75000</v>
      </c>
      <c r="I502" s="43">
        <v>2152.5</v>
      </c>
      <c r="J502" s="43">
        <v>6309.38</v>
      </c>
      <c r="K502" s="43">
        <v>2280</v>
      </c>
      <c r="L502" s="43">
        <v>0</v>
      </c>
      <c r="M502" s="44">
        <f t="shared" si="31"/>
        <v>10741.880000000001</v>
      </c>
      <c r="N502" s="44">
        <f>G503-M502</f>
        <v>64258.119999999995</v>
      </c>
      <c r="O502" s="88" t="s">
        <v>19</v>
      </c>
    </row>
    <row r="503" spans="1:15" s="91" customFormat="1" x14ac:dyDescent="0.25">
      <c r="A503" s="87"/>
      <c r="B503" s="88">
        <f t="shared" si="28"/>
        <v>499</v>
      </c>
      <c r="C503" s="89" t="s">
        <v>594</v>
      </c>
      <c r="D503" s="90" t="s">
        <v>252</v>
      </c>
      <c r="E503" s="89" t="s">
        <v>21</v>
      </c>
      <c r="F503" s="90" t="s">
        <v>253</v>
      </c>
      <c r="G503" s="43">
        <v>75000</v>
      </c>
      <c r="H503" s="43">
        <v>75000</v>
      </c>
      <c r="I503" s="43">
        <v>2152.5</v>
      </c>
      <c r="J503" s="43">
        <v>6309.38</v>
      </c>
      <c r="K503" s="43">
        <v>2280</v>
      </c>
      <c r="L503" s="43">
        <v>41142.519999999997</v>
      </c>
      <c r="M503" s="44">
        <f t="shared" si="31"/>
        <v>51884.399999999994</v>
      </c>
      <c r="N503" s="44">
        <f t="shared" ref="N503:N520" si="33">+G503-M503</f>
        <v>23115.600000000006</v>
      </c>
      <c r="O503" s="88" t="s">
        <v>23</v>
      </c>
    </row>
    <row r="504" spans="1:15" s="91" customFormat="1" x14ac:dyDescent="0.25">
      <c r="A504" s="87"/>
      <c r="B504" s="88">
        <f t="shared" si="28"/>
        <v>500</v>
      </c>
      <c r="C504" s="89" t="s">
        <v>595</v>
      </c>
      <c r="D504" s="90" t="s">
        <v>252</v>
      </c>
      <c r="E504" s="89" t="s">
        <v>21</v>
      </c>
      <c r="F504" s="90" t="s">
        <v>253</v>
      </c>
      <c r="G504" s="43">
        <v>75000</v>
      </c>
      <c r="H504" s="43">
        <v>75000</v>
      </c>
      <c r="I504" s="43">
        <v>2152.5</v>
      </c>
      <c r="J504" s="43">
        <v>6309.38</v>
      </c>
      <c r="K504" s="43">
        <v>2280</v>
      </c>
      <c r="L504" s="43">
        <v>0</v>
      </c>
      <c r="M504" s="44">
        <f t="shared" si="31"/>
        <v>10741.880000000001</v>
      </c>
      <c r="N504" s="44">
        <f t="shared" si="33"/>
        <v>64258.119999999995</v>
      </c>
      <c r="O504" s="88" t="s">
        <v>23</v>
      </c>
    </row>
    <row r="505" spans="1:15" s="91" customFormat="1" x14ac:dyDescent="0.25">
      <c r="A505" s="87"/>
      <c r="B505" s="88">
        <f t="shared" si="28"/>
        <v>501</v>
      </c>
      <c r="C505" s="89" t="s">
        <v>601</v>
      </c>
      <c r="D505" s="90" t="s">
        <v>356</v>
      </c>
      <c r="E505" s="89" t="s">
        <v>25</v>
      </c>
      <c r="F505" s="90" t="s">
        <v>606</v>
      </c>
      <c r="G505" s="43">
        <v>15000</v>
      </c>
      <c r="H505" s="43">
        <f>+G505</f>
        <v>15000</v>
      </c>
      <c r="I505" s="43">
        <v>430.5</v>
      </c>
      <c r="J505" s="43">
        <v>0</v>
      </c>
      <c r="K505" s="43">
        <v>456</v>
      </c>
      <c r="L505" s="43">
        <v>0</v>
      </c>
      <c r="M505" s="44">
        <f>+I505+K505</f>
        <v>886.5</v>
      </c>
      <c r="N505" s="44">
        <f>+H505-M505</f>
        <v>14113.5</v>
      </c>
      <c r="O505" s="88" t="s">
        <v>19</v>
      </c>
    </row>
    <row r="506" spans="1:15" s="91" customFormat="1" x14ac:dyDescent="0.25">
      <c r="A506" s="87"/>
      <c r="B506" s="88">
        <f t="shared" si="28"/>
        <v>502</v>
      </c>
      <c r="C506" s="89" t="s">
        <v>602</v>
      </c>
      <c r="D506" s="90" t="s">
        <v>356</v>
      </c>
      <c r="E506" s="89" t="s">
        <v>25</v>
      </c>
      <c r="F506" s="90" t="s">
        <v>360</v>
      </c>
      <c r="G506" s="43">
        <v>15000</v>
      </c>
      <c r="H506" s="43">
        <f t="shared" ref="H506:H512" si="34">+G506</f>
        <v>15000</v>
      </c>
      <c r="I506" s="43">
        <v>430.5</v>
      </c>
      <c r="J506" s="43">
        <v>0</v>
      </c>
      <c r="K506" s="43">
        <v>456</v>
      </c>
      <c r="L506" s="43">
        <v>1000</v>
      </c>
      <c r="M506" s="44">
        <f>I506+J506+K506+L506</f>
        <v>1886.5</v>
      </c>
      <c r="N506" s="44">
        <f t="shared" ref="N506:N510" si="35">+H506-M506</f>
        <v>13113.5</v>
      </c>
      <c r="O506" s="88" t="s">
        <v>19</v>
      </c>
    </row>
    <row r="507" spans="1:15" s="91" customFormat="1" x14ac:dyDescent="0.25">
      <c r="A507" s="87"/>
      <c r="B507" s="88">
        <f t="shared" si="28"/>
        <v>503</v>
      </c>
      <c r="C507" s="89" t="s">
        <v>603</v>
      </c>
      <c r="D507" s="90" t="s">
        <v>599</v>
      </c>
      <c r="E507" s="89" t="s">
        <v>25</v>
      </c>
      <c r="F507" s="90" t="s">
        <v>62</v>
      </c>
      <c r="G507" s="43">
        <v>10000</v>
      </c>
      <c r="H507" s="43">
        <f t="shared" si="34"/>
        <v>10000</v>
      </c>
      <c r="I507" s="43">
        <v>287</v>
      </c>
      <c r="J507" s="43">
        <v>0</v>
      </c>
      <c r="K507" s="43">
        <v>304</v>
      </c>
      <c r="L507" s="43">
        <v>0</v>
      </c>
      <c r="M507" s="44">
        <f t="shared" ref="M507:M508" si="36">+I507+K507</f>
        <v>591</v>
      </c>
      <c r="N507" s="44">
        <f t="shared" si="35"/>
        <v>9409</v>
      </c>
      <c r="O507" s="88" t="s">
        <v>23</v>
      </c>
    </row>
    <row r="508" spans="1:15" s="91" customFormat="1" x14ac:dyDescent="0.25">
      <c r="A508" s="87"/>
      <c r="B508" s="88">
        <f t="shared" si="28"/>
        <v>504</v>
      </c>
      <c r="C508" s="89" t="s">
        <v>604</v>
      </c>
      <c r="D508" s="90" t="s">
        <v>599</v>
      </c>
      <c r="E508" s="89" t="s">
        <v>25</v>
      </c>
      <c r="F508" s="90" t="s">
        <v>28</v>
      </c>
      <c r="G508" s="43">
        <v>20000</v>
      </c>
      <c r="H508" s="43">
        <f t="shared" si="34"/>
        <v>20000</v>
      </c>
      <c r="I508" s="43">
        <v>574</v>
      </c>
      <c r="J508" s="43">
        <v>0</v>
      </c>
      <c r="K508" s="43">
        <v>608</v>
      </c>
      <c r="L508" s="43">
        <v>0</v>
      </c>
      <c r="M508" s="44">
        <f t="shared" si="36"/>
        <v>1182</v>
      </c>
      <c r="N508" s="44">
        <f t="shared" si="35"/>
        <v>18818</v>
      </c>
      <c r="O508" s="88" t="s">
        <v>23</v>
      </c>
    </row>
    <row r="509" spans="1:15" s="91" customFormat="1" x14ac:dyDescent="0.25">
      <c r="A509" s="87"/>
      <c r="B509" s="88">
        <f t="shared" ref="B509:B520" si="37">+B508+1</f>
        <v>505</v>
      </c>
      <c r="C509" s="89" t="s">
        <v>605</v>
      </c>
      <c r="D509" s="90" t="s">
        <v>599</v>
      </c>
      <c r="E509" s="89" t="s">
        <v>25</v>
      </c>
      <c r="F509" s="90" t="s">
        <v>585</v>
      </c>
      <c r="G509" s="43">
        <v>20000</v>
      </c>
      <c r="H509" s="43">
        <f t="shared" si="34"/>
        <v>20000</v>
      </c>
      <c r="I509" s="43">
        <v>574</v>
      </c>
      <c r="J509" s="43">
        <v>0</v>
      </c>
      <c r="K509" s="43">
        <v>608</v>
      </c>
      <c r="L509" s="43">
        <v>0</v>
      </c>
      <c r="M509" s="44">
        <f>+L509+K509+J509+I509</f>
        <v>1182</v>
      </c>
      <c r="N509" s="44">
        <f t="shared" si="35"/>
        <v>18818</v>
      </c>
      <c r="O509" s="88" t="s">
        <v>19</v>
      </c>
    </row>
    <row r="510" spans="1:15" s="91" customFormat="1" x14ac:dyDescent="0.25">
      <c r="A510" s="87"/>
      <c r="B510" s="88">
        <f t="shared" si="37"/>
        <v>506</v>
      </c>
      <c r="C510" s="89" t="s">
        <v>610</v>
      </c>
      <c r="D510" s="90" t="s">
        <v>59</v>
      </c>
      <c r="E510" s="89" t="s">
        <v>25</v>
      </c>
      <c r="F510" s="90" t="s">
        <v>609</v>
      </c>
      <c r="G510" s="43">
        <v>60000</v>
      </c>
      <c r="H510" s="43">
        <f t="shared" si="34"/>
        <v>60000</v>
      </c>
      <c r="I510" s="43">
        <v>1722</v>
      </c>
      <c r="J510" s="43">
        <v>3486.68</v>
      </c>
      <c r="K510" s="43">
        <v>1824</v>
      </c>
      <c r="L510" s="43">
        <v>0</v>
      </c>
      <c r="M510" s="44">
        <f>+K510+J510+I510</f>
        <v>7032.68</v>
      </c>
      <c r="N510" s="44">
        <f t="shared" si="35"/>
        <v>52967.32</v>
      </c>
      <c r="O510" s="88" t="s">
        <v>19</v>
      </c>
    </row>
    <row r="511" spans="1:15" s="39" customFormat="1" x14ac:dyDescent="0.25">
      <c r="A511" s="12"/>
      <c r="B511" s="81">
        <f>B510+1</f>
        <v>507</v>
      </c>
      <c r="C511" s="82" t="s">
        <v>627</v>
      </c>
      <c r="D511" s="83" t="s">
        <v>59</v>
      </c>
      <c r="E511" s="82" t="s">
        <v>25</v>
      </c>
      <c r="F511" s="83" t="s">
        <v>69</v>
      </c>
      <c r="G511" s="84">
        <v>15000</v>
      </c>
      <c r="H511" s="84">
        <f t="shared" si="34"/>
        <v>15000</v>
      </c>
      <c r="I511" s="84">
        <v>430.5</v>
      </c>
      <c r="J511" s="84">
        <v>0</v>
      </c>
      <c r="K511" s="84">
        <v>456</v>
      </c>
      <c r="L511" s="84">
        <v>0</v>
      </c>
      <c r="M511" s="85">
        <f>+K511+I511</f>
        <v>886.5</v>
      </c>
      <c r="N511" s="85">
        <f>+G511-M511</f>
        <v>14113.5</v>
      </c>
      <c r="O511" s="81" t="s">
        <v>23</v>
      </c>
    </row>
    <row r="512" spans="1:15" s="91" customFormat="1" x14ac:dyDescent="0.25">
      <c r="A512" s="87"/>
      <c r="B512" s="88">
        <f>B511+1</f>
        <v>508</v>
      </c>
      <c r="C512" s="89" t="s">
        <v>611</v>
      </c>
      <c r="D512" s="90" t="s">
        <v>59</v>
      </c>
      <c r="E512" s="89" t="s">
        <v>25</v>
      </c>
      <c r="F512" s="90" t="s">
        <v>69</v>
      </c>
      <c r="G512" s="43">
        <v>15000</v>
      </c>
      <c r="H512" s="43">
        <f t="shared" si="34"/>
        <v>15000</v>
      </c>
      <c r="I512" s="43">
        <v>430.5</v>
      </c>
      <c r="J512" s="43">
        <v>0</v>
      </c>
      <c r="K512" s="43">
        <v>456</v>
      </c>
      <c r="L512" s="43">
        <v>0</v>
      </c>
      <c r="M512" s="44">
        <f>+K512+I512</f>
        <v>886.5</v>
      </c>
      <c r="N512" s="44">
        <f>+G512-M512</f>
        <v>14113.5</v>
      </c>
      <c r="O512" s="88" t="s">
        <v>23</v>
      </c>
    </row>
    <row r="513" spans="1:15" s="91" customFormat="1" x14ac:dyDescent="0.25">
      <c r="A513" s="87"/>
      <c r="B513" s="88">
        <f t="shared" si="37"/>
        <v>509</v>
      </c>
      <c r="C513" s="89" t="s">
        <v>612</v>
      </c>
      <c r="D513" s="90" t="s">
        <v>59</v>
      </c>
      <c r="E513" s="89" t="s">
        <v>25</v>
      </c>
      <c r="F513" s="90" t="s">
        <v>106</v>
      </c>
      <c r="G513" s="43">
        <v>15000</v>
      </c>
      <c r="H513" s="43">
        <v>15000</v>
      </c>
      <c r="I513" s="43">
        <v>430.5</v>
      </c>
      <c r="J513" s="43">
        <v>0</v>
      </c>
      <c r="K513" s="43">
        <v>456</v>
      </c>
      <c r="L513" s="43">
        <v>0</v>
      </c>
      <c r="M513" s="44">
        <f>+K513+I513</f>
        <v>886.5</v>
      </c>
      <c r="N513" s="44">
        <f>+G513-M513</f>
        <v>14113.5</v>
      </c>
      <c r="O513" s="88" t="s">
        <v>19</v>
      </c>
    </row>
    <row r="514" spans="1:15" s="91" customFormat="1" x14ac:dyDescent="0.25">
      <c r="A514" s="87"/>
      <c r="B514" s="88">
        <f t="shared" si="37"/>
        <v>510</v>
      </c>
      <c r="C514" s="89" t="s">
        <v>613</v>
      </c>
      <c r="D514" s="90" t="s">
        <v>252</v>
      </c>
      <c r="E514" s="89" t="s">
        <v>21</v>
      </c>
      <c r="F514" s="90" t="s">
        <v>253</v>
      </c>
      <c r="G514" s="43">
        <v>75000</v>
      </c>
      <c r="H514" s="43">
        <v>75000</v>
      </c>
      <c r="I514" s="43">
        <v>2152.5</v>
      </c>
      <c r="J514" s="43">
        <v>6309.38</v>
      </c>
      <c r="K514" s="43">
        <v>2280</v>
      </c>
      <c r="L514" s="43">
        <v>31.21</v>
      </c>
      <c r="M514" s="44">
        <f t="shared" ref="M514:M515" si="38">SUM(I514:L514)</f>
        <v>10773.09</v>
      </c>
      <c r="N514" s="44">
        <f t="shared" si="33"/>
        <v>64226.91</v>
      </c>
      <c r="O514" s="88" t="s">
        <v>19</v>
      </c>
    </row>
    <row r="515" spans="1:15" s="91" customFormat="1" ht="19.5" customHeight="1" x14ac:dyDescent="0.25">
      <c r="A515" s="87"/>
      <c r="B515" s="88">
        <f t="shared" si="37"/>
        <v>511</v>
      </c>
      <c r="C515" s="89" t="s">
        <v>596</v>
      </c>
      <c r="D515" s="90" t="s">
        <v>599</v>
      </c>
      <c r="E515" s="89" t="s">
        <v>25</v>
      </c>
      <c r="F515" s="90" t="s">
        <v>28</v>
      </c>
      <c r="G515" s="43">
        <v>11520.3</v>
      </c>
      <c r="H515" s="43">
        <v>11520.3</v>
      </c>
      <c r="I515" s="43">
        <v>330.63</v>
      </c>
      <c r="J515" s="43">
        <v>0</v>
      </c>
      <c r="K515" s="43">
        <v>350.22</v>
      </c>
      <c r="L515" s="43">
        <v>0</v>
      </c>
      <c r="M515" s="44">
        <f t="shared" si="38"/>
        <v>680.85</v>
      </c>
      <c r="N515" s="44">
        <f t="shared" si="33"/>
        <v>10839.449999999999</v>
      </c>
      <c r="O515" s="88" t="s">
        <v>19</v>
      </c>
    </row>
    <row r="516" spans="1:15" s="91" customFormat="1" x14ac:dyDescent="0.25">
      <c r="A516" s="87"/>
      <c r="B516" s="88">
        <f t="shared" si="37"/>
        <v>512</v>
      </c>
      <c r="C516" s="89" t="s">
        <v>597</v>
      </c>
      <c r="D516" s="90" t="s">
        <v>356</v>
      </c>
      <c r="E516" s="89" t="s">
        <v>25</v>
      </c>
      <c r="F516" s="90" t="s">
        <v>360</v>
      </c>
      <c r="G516" s="43">
        <v>10000</v>
      </c>
      <c r="H516" s="43">
        <v>10000</v>
      </c>
      <c r="I516" s="43">
        <v>287</v>
      </c>
      <c r="J516" s="43">
        <v>0</v>
      </c>
      <c r="K516" s="43">
        <v>304</v>
      </c>
      <c r="L516" s="43">
        <f>3118.92+27.21</f>
        <v>3146.13</v>
      </c>
      <c r="M516" s="44">
        <f>+L516+K516+I516</f>
        <v>3737.13</v>
      </c>
      <c r="N516" s="44">
        <f t="shared" si="33"/>
        <v>6262.87</v>
      </c>
      <c r="O516" s="88" t="s">
        <v>19</v>
      </c>
    </row>
    <row r="517" spans="1:15" s="91" customFormat="1" x14ac:dyDescent="0.25">
      <c r="A517" s="87"/>
      <c r="B517" s="88">
        <f>+B516+1</f>
        <v>513</v>
      </c>
      <c r="C517" s="89" t="s">
        <v>633</v>
      </c>
      <c r="D517" s="90" t="s">
        <v>599</v>
      </c>
      <c r="E517" s="89" t="s">
        <v>25</v>
      </c>
      <c r="F517" s="90" t="s">
        <v>362</v>
      </c>
      <c r="G517" s="43">
        <v>22000</v>
      </c>
      <c r="H517" s="43">
        <v>22000</v>
      </c>
      <c r="I517" s="43">
        <v>631.4</v>
      </c>
      <c r="J517" s="43">
        <v>0</v>
      </c>
      <c r="K517" s="43">
        <v>668.8</v>
      </c>
      <c r="L517" s="43">
        <v>3000</v>
      </c>
      <c r="M517" s="44">
        <f>+L517+K517+J517+I517</f>
        <v>4300.2</v>
      </c>
      <c r="N517" s="44">
        <f>+H517-M517</f>
        <v>17699.8</v>
      </c>
      <c r="O517" s="88" t="s">
        <v>19</v>
      </c>
    </row>
    <row r="518" spans="1:15" s="91" customFormat="1" x14ac:dyDescent="0.25">
      <c r="A518" s="87"/>
      <c r="B518" s="88">
        <f>+B517+1</f>
        <v>514</v>
      </c>
      <c r="C518" s="89" t="s">
        <v>614</v>
      </c>
      <c r="D518" s="90" t="s">
        <v>599</v>
      </c>
      <c r="E518" s="89" t="s">
        <v>25</v>
      </c>
      <c r="F518" s="90" t="s">
        <v>106</v>
      </c>
      <c r="G518" s="43">
        <v>13000</v>
      </c>
      <c r="H518" s="43">
        <v>13000</v>
      </c>
      <c r="I518" s="43">
        <v>373.1</v>
      </c>
      <c r="J518" s="43">
        <v>0</v>
      </c>
      <c r="K518" s="43">
        <v>395.2</v>
      </c>
      <c r="L518" s="43">
        <v>0</v>
      </c>
      <c r="M518" s="44">
        <f t="shared" ref="M518" si="39">SUM(I518:L518)</f>
        <v>768.3</v>
      </c>
      <c r="N518" s="44">
        <f t="shared" ref="N518" si="40">G518-M518</f>
        <v>12231.7</v>
      </c>
      <c r="O518" s="88" t="s">
        <v>19</v>
      </c>
    </row>
    <row r="519" spans="1:15" s="91" customFormat="1" x14ac:dyDescent="0.25">
      <c r="A519" s="87"/>
      <c r="B519" s="88">
        <f>+B518+1</f>
        <v>515</v>
      </c>
      <c r="C519" s="89" t="s">
        <v>608</v>
      </c>
      <c r="D519" s="90" t="s">
        <v>599</v>
      </c>
      <c r="E519" s="89" t="s">
        <v>21</v>
      </c>
      <c r="F519" s="90" t="s">
        <v>600</v>
      </c>
      <c r="G519" s="43">
        <v>18290.79</v>
      </c>
      <c r="H519" s="43">
        <v>18290.79</v>
      </c>
      <c r="I519" s="43">
        <v>524.95000000000005</v>
      </c>
      <c r="J519" s="43">
        <v>0</v>
      </c>
      <c r="K519" s="43">
        <v>556.04</v>
      </c>
      <c r="L519" s="43">
        <v>0</v>
      </c>
      <c r="M519" s="44">
        <f>+L519+K519+I519</f>
        <v>1080.99</v>
      </c>
      <c r="N519" s="44">
        <f t="shared" si="33"/>
        <v>17209.8</v>
      </c>
      <c r="O519" s="88" t="s">
        <v>19</v>
      </c>
    </row>
    <row r="520" spans="1:15" s="91" customFormat="1" x14ac:dyDescent="0.25">
      <c r="A520" s="87"/>
      <c r="B520" s="88">
        <f t="shared" si="37"/>
        <v>516</v>
      </c>
      <c r="C520" s="89" t="s">
        <v>598</v>
      </c>
      <c r="D520" s="90" t="s">
        <v>356</v>
      </c>
      <c r="E520" s="89" t="s">
        <v>25</v>
      </c>
      <c r="F520" s="90" t="s">
        <v>360</v>
      </c>
      <c r="G520" s="43">
        <v>10000</v>
      </c>
      <c r="H520" s="43">
        <v>10000</v>
      </c>
      <c r="I520" s="43">
        <v>287</v>
      </c>
      <c r="J520" s="43">
        <v>0</v>
      </c>
      <c r="K520" s="43">
        <v>304</v>
      </c>
      <c r="L520" s="43">
        <f>1066.85</f>
        <v>1066.8499999999999</v>
      </c>
      <c r="M520" s="44">
        <f>+L520+K520+I520</f>
        <v>1657.85</v>
      </c>
      <c r="N520" s="44">
        <f t="shared" si="33"/>
        <v>8342.15</v>
      </c>
      <c r="O520" s="88" t="s">
        <v>19</v>
      </c>
    </row>
    <row r="521" spans="1:15" s="39" customFormat="1" x14ac:dyDescent="0.25">
      <c r="A521" s="12"/>
      <c r="B521" s="74"/>
      <c r="C521" s="75" t="s">
        <v>576</v>
      </c>
      <c r="D521" s="76"/>
      <c r="E521" s="77"/>
      <c r="F521" s="76"/>
      <c r="G521" s="73">
        <f t="shared" ref="G521:N521" si="41">SUM(G5:G520)</f>
        <v>15007713.970000001</v>
      </c>
      <c r="H521" s="73">
        <f t="shared" si="41"/>
        <v>15007713.970000001</v>
      </c>
      <c r="I521" s="73">
        <f t="shared" si="41"/>
        <v>430721.42000000016</v>
      </c>
      <c r="J521" s="73">
        <f t="shared" si="41"/>
        <v>713839.6100000001</v>
      </c>
      <c r="K521" s="73">
        <f t="shared" si="41"/>
        <v>455527.65000000014</v>
      </c>
      <c r="L521" s="73">
        <f t="shared" si="41"/>
        <v>2218622.0499999966</v>
      </c>
      <c r="M521" s="73">
        <f t="shared" si="41"/>
        <v>3818710.7299999958</v>
      </c>
      <c r="N521" s="73">
        <f t="shared" si="41"/>
        <v>11189003.23999995</v>
      </c>
      <c r="O521" s="74"/>
    </row>
    <row r="522" spans="1:15" s="11" customFormat="1" ht="15" customHeight="1" x14ac:dyDescent="0.2">
      <c r="B522" s="78"/>
      <c r="C522" s="78"/>
      <c r="D522" s="79"/>
      <c r="E522" s="78"/>
      <c r="F522" s="79"/>
      <c r="G522" s="80"/>
      <c r="H522" s="80"/>
      <c r="I522" s="80"/>
      <c r="J522" s="80"/>
      <c r="K522" s="80"/>
      <c r="L522" s="31"/>
      <c r="M522" s="31"/>
      <c r="N522" s="31"/>
      <c r="O522" s="78"/>
    </row>
    <row r="523" spans="1:15" x14ac:dyDescent="0.25">
      <c r="B523" s="15"/>
      <c r="C523" s="15"/>
      <c r="D523" s="16"/>
      <c r="E523" s="15"/>
      <c r="F523" s="16"/>
      <c r="G523" s="17"/>
      <c r="H523" s="18"/>
      <c r="I523" s="18"/>
      <c r="J523" s="18"/>
      <c r="K523" s="18"/>
      <c r="L523" s="31"/>
      <c r="M523" s="31"/>
      <c r="N523" s="31"/>
      <c r="O523" s="15"/>
    </row>
    <row r="524" spans="1:15" ht="16.5" x14ac:dyDescent="0.35">
      <c r="B524" s="19"/>
      <c r="C524" s="20" t="s">
        <v>577</v>
      </c>
      <c r="D524" s="19"/>
      <c r="E524" s="21" t="s">
        <v>578</v>
      </c>
      <c r="F524" s="19"/>
      <c r="G524" s="22"/>
      <c r="H524" s="23"/>
      <c r="I524" s="23"/>
      <c r="J524" s="23"/>
      <c r="K524" s="24" t="s">
        <v>579</v>
      </c>
      <c r="L524" s="32"/>
      <c r="M524" s="32"/>
      <c r="N524" s="33"/>
      <c r="O524" s="25"/>
    </row>
    <row r="525" spans="1:15" s="3" customFormat="1" x14ac:dyDescent="0.25">
      <c r="B525" s="26"/>
      <c r="C525" s="26" t="s">
        <v>580</v>
      </c>
      <c r="D525" s="26"/>
      <c r="E525" s="27" t="s">
        <v>581</v>
      </c>
      <c r="F525" s="26"/>
      <c r="G525" s="28"/>
      <c r="H525" s="29"/>
      <c r="I525" s="29"/>
      <c r="J525" s="29"/>
      <c r="K525" s="28" t="s">
        <v>582</v>
      </c>
      <c r="L525" s="34"/>
      <c r="M525" s="34"/>
      <c r="N525" s="35"/>
      <c r="O525" s="26"/>
    </row>
    <row r="526" spans="1:15" s="4" customFormat="1" x14ac:dyDescent="0.25">
      <c r="B526" s="5"/>
      <c r="C526" s="5"/>
      <c r="D526" s="5"/>
      <c r="E526" s="5"/>
      <c r="F526" s="5"/>
      <c r="G526" s="6"/>
      <c r="H526" s="7"/>
      <c r="I526" s="7"/>
      <c r="J526" s="7"/>
      <c r="K526" s="7"/>
      <c r="L526" s="8"/>
      <c r="M526" s="8"/>
      <c r="N526" s="8"/>
      <c r="O526" s="1"/>
    </row>
    <row r="527" spans="1:15" x14ac:dyDescent="0.25">
      <c r="A527" s="1"/>
      <c r="L527" s="8"/>
      <c r="M527" s="8"/>
      <c r="N527" s="8"/>
    </row>
    <row r="528" spans="1:15" x14ac:dyDescent="0.25">
      <c r="H528" s="86"/>
      <c r="L528" s="8"/>
      <c r="M528" s="8"/>
      <c r="N528" s="8"/>
    </row>
    <row r="529" spans="12:14" x14ac:dyDescent="0.25">
      <c r="L529" s="8"/>
      <c r="M529" s="8"/>
      <c r="N529" s="8"/>
    </row>
    <row r="530" spans="12:14" x14ac:dyDescent="0.25">
      <c r="L530" s="8"/>
      <c r="M530" s="8"/>
      <c r="N530" s="8"/>
    </row>
    <row r="531" spans="12:14" x14ac:dyDescent="0.25">
      <c r="L531" s="8"/>
      <c r="M531" s="8"/>
      <c r="N531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5" fitToHeight="0" orientation="landscape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36"/>
  <sheetViews>
    <sheetView topLeftCell="B1" zoomScale="120" zoomScaleNormal="120" workbookViewId="0">
      <selection activeCell="E13" sqref="E13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0.85546875" style="10" customWidth="1"/>
    <col min="11" max="11" width="15" style="10" bestFit="1" customWidth="1"/>
    <col min="12" max="12" width="12" style="36" customWidth="1"/>
    <col min="13" max="13" width="11.7109375" style="36" customWidth="1"/>
    <col min="14" max="14" width="15.140625" style="36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4" customFormat="1" x14ac:dyDescent="0.25">
      <c r="B1" s="104" t="s">
        <v>0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1:15 16382:16384" customFormat="1" x14ac:dyDescent="0.25">
      <c r="B2" s="105" t="s">
        <v>1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</row>
    <row r="3" spans="1:15 16382:16384" x14ac:dyDescent="0.25">
      <c r="A3" s="1"/>
      <c r="B3" s="106" t="s">
        <v>625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</row>
    <row r="4" spans="1:15 16382:16384" s="14" customFormat="1" ht="18" customHeight="1" x14ac:dyDescent="0.2">
      <c r="B4" s="46" t="s">
        <v>592</v>
      </c>
      <c r="C4" s="46" t="s">
        <v>2</v>
      </c>
      <c r="D4" s="47" t="s">
        <v>3</v>
      </c>
      <c r="E4" s="46" t="s">
        <v>4</v>
      </c>
      <c r="F4" s="47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6" t="s">
        <v>14</v>
      </c>
      <c r="XFB4" s="40"/>
      <c r="XFC4" s="40"/>
    </row>
    <row r="5" spans="1:15 16382:16384" s="13" customFormat="1" x14ac:dyDescent="0.25">
      <c r="A5" s="12"/>
      <c r="B5" s="49">
        <v>1</v>
      </c>
      <c r="C5" s="50" t="s">
        <v>15</v>
      </c>
      <c r="D5" s="51" t="s">
        <v>16</v>
      </c>
      <c r="E5" s="50" t="s">
        <v>17</v>
      </c>
      <c r="F5" s="51" t="s">
        <v>18</v>
      </c>
      <c r="G5" s="41">
        <v>240000</v>
      </c>
      <c r="H5" s="41">
        <v>240000</v>
      </c>
      <c r="I5" s="41">
        <v>6888</v>
      </c>
      <c r="J5" s="71">
        <v>45213.58</v>
      </c>
      <c r="K5" s="41">
        <v>6589.14</v>
      </c>
      <c r="L5" s="41">
        <v>20346.169999999998</v>
      </c>
      <c r="M5" s="42">
        <f t="shared" ref="M5:M73" si="0">SUM(I5:L5)</f>
        <v>79036.89</v>
      </c>
      <c r="N5" s="42">
        <f t="shared" ref="N5:N73" si="1">G5-M5</f>
        <v>160963.10999999999</v>
      </c>
      <c r="O5" s="49" t="s">
        <v>19</v>
      </c>
    </row>
    <row r="6" spans="1:15 16382:16384" s="13" customFormat="1" x14ac:dyDescent="0.25">
      <c r="A6" s="12"/>
      <c r="B6" s="49">
        <f>+B5+1</f>
        <v>2</v>
      </c>
      <c r="C6" s="50" t="s">
        <v>20</v>
      </c>
      <c r="D6" s="51" t="s">
        <v>16</v>
      </c>
      <c r="E6" s="50" t="s">
        <v>21</v>
      </c>
      <c r="F6" s="51" t="s">
        <v>22</v>
      </c>
      <c r="G6" s="41">
        <v>45000</v>
      </c>
      <c r="H6" s="41">
        <v>45000</v>
      </c>
      <c r="I6" s="41">
        <v>1291.5</v>
      </c>
      <c r="J6" s="71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49" t="s">
        <v>23</v>
      </c>
    </row>
    <row r="7" spans="1:15 16382:16384" s="13" customFormat="1" ht="15.75" customHeight="1" x14ac:dyDescent="0.25">
      <c r="A7" s="12"/>
      <c r="B7" s="49">
        <f>+B6+1</f>
        <v>3</v>
      </c>
      <c r="C7" s="50" t="s">
        <v>24</v>
      </c>
      <c r="D7" s="51" t="s">
        <v>16</v>
      </c>
      <c r="E7" s="50" t="s">
        <v>25</v>
      </c>
      <c r="F7" s="51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49" t="s">
        <v>23</v>
      </c>
    </row>
    <row r="8" spans="1:15 16382:16384" s="13" customFormat="1" x14ac:dyDescent="0.25">
      <c r="A8" s="12"/>
      <c r="B8" s="49">
        <f t="shared" ref="B8:B72" si="2">+B7+1</f>
        <v>4</v>
      </c>
      <c r="C8" s="50" t="s">
        <v>27</v>
      </c>
      <c r="D8" s="51" t="s">
        <v>16</v>
      </c>
      <c r="E8" s="50" t="s">
        <v>25</v>
      </c>
      <c r="F8" s="51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49" t="s">
        <v>23</v>
      </c>
    </row>
    <row r="9" spans="1:15 16382:16384" s="13" customFormat="1" x14ac:dyDescent="0.25">
      <c r="A9" s="12"/>
      <c r="B9" s="49">
        <f t="shared" si="2"/>
        <v>5</v>
      </c>
      <c r="C9" s="50" t="s">
        <v>29</v>
      </c>
      <c r="D9" s="51" t="s">
        <v>16</v>
      </c>
      <c r="E9" s="50" t="s">
        <v>30</v>
      </c>
      <c r="F9" s="51" t="s">
        <v>31</v>
      </c>
      <c r="G9" s="41">
        <v>85000</v>
      </c>
      <c r="H9" s="41">
        <v>85000</v>
      </c>
      <c r="I9" s="41">
        <v>2439.5</v>
      </c>
      <c r="J9" s="71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49" t="s">
        <v>23</v>
      </c>
    </row>
    <row r="10" spans="1:15 16382:16384" s="13" customFormat="1" x14ac:dyDescent="0.25">
      <c r="A10" s="12"/>
      <c r="B10" s="65">
        <f t="shared" si="2"/>
        <v>6</v>
      </c>
      <c r="C10" s="66" t="s">
        <v>32</v>
      </c>
      <c r="D10" s="67" t="s">
        <v>16</v>
      </c>
      <c r="E10" s="66" t="s">
        <v>30</v>
      </c>
      <c r="F10" s="67" t="s">
        <v>31</v>
      </c>
      <c r="G10" s="68">
        <v>80000</v>
      </c>
      <c r="H10" s="68">
        <v>80000</v>
      </c>
      <c r="I10" s="68">
        <v>2296</v>
      </c>
      <c r="J10" s="68">
        <v>6972</v>
      </c>
      <c r="K10" s="68">
        <v>2432</v>
      </c>
      <c r="L10" s="68">
        <v>1746.67</v>
      </c>
      <c r="M10" s="69">
        <f t="shared" si="0"/>
        <v>13446.67</v>
      </c>
      <c r="N10" s="69">
        <f t="shared" si="1"/>
        <v>66553.33</v>
      </c>
      <c r="O10" s="65" t="s">
        <v>19</v>
      </c>
    </row>
    <row r="11" spans="1:15 16382:16384" s="13" customFormat="1" x14ac:dyDescent="0.25">
      <c r="A11" s="12"/>
      <c r="B11" s="49">
        <f t="shared" si="2"/>
        <v>7</v>
      </c>
      <c r="C11" s="50" t="s">
        <v>33</v>
      </c>
      <c r="D11" s="51" t="s">
        <v>16</v>
      </c>
      <c r="E11" s="50" t="s">
        <v>30</v>
      </c>
      <c r="F11" s="51" t="s">
        <v>34</v>
      </c>
      <c r="G11" s="41">
        <v>40000</v>
      </c>
      <c r="H11" s="41">
        <v>40000</v>
      </c>
      <c r="I11" s="41">
        <v>1148</v>
      </c>
      <c r="J11" s="71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49" t="s">
        <v>19</v>
      </c>
    </row>
    <row r="12" spans="1:15 16382:16384" s="13" customFormat="1" x14ac:dyDescent="0.25">
      <c r="A12" s="12"/>
      <c r="B12" s="49"/>
      <c r="C12" s="50"/>
      <c r="D12" s="51"/>
      <c r="E12" s="50"/>
      <c r="F12" s="51"/>
      <c r="G12" s="41"/>
      <c r="H12" s="41"/>
      <c r="I12" s="41"/>
      <c r="J12" s="71"/>
      <c r="K12" s="41"/>
      <c r="L12" s="41"/>
      <c r="M12" s="42"/>
      <c r="N12" s="42"/>
      <c r="O12" s="49"/>
    </row>
    <row r="13" spans="1:15 16382:16384" s="13" customFormat="1" ht="18.75" customHeight="1" x14ac:dyDescent="0.25">
      <c r="A13" s="12"/>
      <c r="B13" s="49">
        <f>+B11+1</f>
        <v>8</v>
      </c>
      <c r="C13" s="50" t="s">
        <v>35</v>
      </c>
      <c r="D13" s="51" t="s">
        <v>36</v>
      </c>
      <c r="E13" s="50" t="s">
        <v>25</v>
      </c>
      <c r="F13" s="51" t="s">
        <v>37</v>
      </c>
      <c r="G13" s="41">
        <v>59554.5</v>
      </c>
      <c r="H13" s="41">
        <v>59554.5</v>
      </c>
      <c r="I13" s="41">
        <v>1709.21</v>
      </c>
      <c r="J13" s="41">
        <v>3402.84</v>
      </c>
      <c r="K13" s="41">
        <v>1810.46</v>
      </c>
      <c r="L13" s="41">
        <f>11063.28+63.72</f>
        <v>11127</v>
      </c>
      <c r="M13" s="42">
        <f t="shared" si="0"/>
        <v>18049.510000000002</v>
      </c>
      <c r="N13" s="42">
        <f t="shared" si="1"/>
        <v>41504.99</v>
      </c>
      <c r="O13" s="49" t="s">
        <v>19</v>
      </c>
    </row>
    <row r="14" spans="1:15 16382:16384" s="13" customFormat="1" ht="16.5" customHeight="1" x14ac:dyDescent="0.25">
      <c r="A14" s="12"/>
      <c r="B14" s="49">
        <f t="shared" si="2"/>
        <v>9</v>
      </c>
      <c r="C14" s="50" t="s">
        <v>38</v>
      </c>
      <c r="D14" s="51" t="s">
        <v>1</v>
      </c>
      <c r="E14" s="50" t="s">
        <v>21</v>
      </c>
      <c r="F14" s="51" t="s">
        <v>39</v>
      </c>
      <c r="G14" s="41">
        <v>90000</v>
      </c>
      <c r="H14" s="41">
        <v>90000</v>
      </c>
      <c r="I14" s="41">
        <v>2583</v>
      </c>
      <c r="J14" s="41">
        <v>9753.1200000000008</v>
      </c>
      <c r="K14" s="41">
        <v>2736</v>
      </c>
      <c r="L14" s="41">
        <f>100+2233.36+59.71</f>
        <v>2393.0700000000002</v>
      </c>
      <c r="M14" s="42">
        <f t="shared" si="0"/>
        <v>17465.190000000002</v>
      </c>
      <c r="N14" s="42">
        <f t="shared" si="1"/>
        <v>72534.81</v>
      </c>
      <c r="O14" s="49" t="s">
        <v>19</v>
      </c>
    </row>
    <row r="15" spans="1:15 16382:16384" s="13" customFormat="1" ht="21.75" customHeight="1" x14ac:dyDescent="0.25">
      <c r="A15" s="12"/>
      <c r="B15" s="49">
        <f t="shared" si="2"/>
        <v>10</v>
      </c>
      <c r="C15" s="50" t="s">
        <v>40</v>
      </c>
      <c r="D15" s="51" t="s">
        <v>1</v>
      </c>
      <c r="E15" s="50" t="s">
        <v>25</v>
      </c>
      <c r="F15" s="51" t="s">
        <v>28</v>
      </c>
      <c r="G15" s="41">
        <v>22050</v>
      </c>
      <c r="H15" s="41">
        <v>22050</v>
      </c>
      <c r="I15" s="41">
        <v>632.84</v>
      </c>
      <c r="J15" s="41">
        <v>0</v>
      </c>
      <c r="K15" s="41">
        <v>670.32</v>
      </c>
      <c r="L15" s="41">
        <f>3118.92+31.21+5318.8</f>
        <v>8468.93</v>
      </c>
      <c r="M15" s="42">
        <f>+L15+K15+J15+I15</f>
        <v>9772.09</v>
      </c>
      <c r="N15" s="42">
        <f>+G15-M15</f>
        <v>12277.91</v>
      </c>
      <c r="O15" s="49" t="s">
        <v>23</v>
      </c>
    </row>
    <row r="16" spans="1:15 16382:16384" s="38" customFormat="1" ht="18" customHeight="1" x14ac:dyDescent="0.25">
      <c r="A16" s="37"/>
      <c r="B16" s="49">
        <f t="shared" si="2"/>
        <v>11</v>
      </c>
      <c r="C16" s="50" t="s">
        <v>41</v>
      </c>
      <c r="D16" s="51" t="s">
        <v>1</v>
      </c>
      <c r="E16" s="50" t="s">
        <v>21</v>
      </c>
      <c r="F16" s="51" t="s">
        <v>42</v>
      </c>
      <c r="G16" s="41">
        <v>55000</v>
      </c>
      <c r="H16" s="41">
        <v>55000</v>
      </c>
      <c r="I16" s="41">
        <v>1578.5</v>
      </c>
      <c r="J16" s="41">
        <v>2302.36</v>
      </c>
      <c r="K16" s="41">
        <v>1672</v>
      </c>
      <c r="L16" s="41">
        <f>100+31.21+500+1715.46+2637.48+7295.42</f>
        <v>12279.57</v>
      </c>
      <c r="M16" s="42">
        <f t="shared" si="0"/>
        <v>17832.43</v>
      </c>
      <c r="N16" s="42">
        <f t="shared" si="1"/>
        <v>37167.57</v>
      </c>
      <c r="O16" s="49" t="s">
        <v>23</v>
      </c>
      <c r="XFB16" s="13"/>
      <c r="XFC16" s="13"/>
      <c r="XFD16" s="13"/>
    </row>
    <row r="17" spans="1:15" s="39" customFormat="1" ht="20.25" customHeight="1" x14ac:dyDescent="0.25">
      <c r="A17" s="12"/>
      <c r="B17" s="60">
        <f t="shared" si="2"/>
        <v>12</v>
      </c>
      <c r="C17" s="61" t="s">
        <v>43</v>
      </c>
      <c r="D17" s="62" t="s">
        <v>1</v>
      </c>
      <c r="E17" s="61" t="s">
        <v>25</v>
      </c>
      <c r="F17" s="62" t="s">
        <v>28</v>
      </c>
      <c r="G17" s="63">
        <v>30000</v>
      </c>
      <c r="H17" s="63">
        <v>30000</v>
      </c>
      <c r="I17" s="63">
        <v>861</v>
      </c>
      <c r="J17" s="63">
        <v>0</v>
      </c>
      <c r="K17" s="63">
        <v>912</v>
      </c>
      <c r="L17" s="63">
        <v>6514.71</v>
      </c>
      <c r="M17" s="64">
        <f t="shared" si="0"/>
        <v>8287.7099999999991</v>
      </c>
      <c r="N17" s="64">
        <f t="shared" si="1"/>
        <v>21712.29</v>
      </c>
      <c r="O17" s="60" t="s">
        <v>23</v>
      </c>
    </row>
    <row r="18" spans="1:15" s="39" customFormat="1" ht="21" customHeight="1" x14ac:dyDescent="0.25">
      <c r="A18" s="12"/>
      <c r="B18" s="52">
        <f>+B17+1</f>
        <v>13</v>
      </c>
      <c r="C18" s="53" t="s">
        <v>615</v>
      </c>
      <c r="D18" s="54" t="s">
        <v>1</v>
      </c>
      <c r="E18" s="53" t="s">
        <v>25</v>
      </c>
      <c r="F18" s="54" t="s">
        <v>45</v>
      </c>
      <c r="G18" s="43">
        <v>23000</v>
      </c>
      <c r="H18" s="43">
        <v>23000</v>
      </c>
      <c r="I18" s="43">
        <v>660.1</v>
      </c>
      <c r="J18" s="43">
        <v>0</v>
      </c>
      <c r="K18" s="43">
        <v>699.2</v>
      </c>
      <c r="L18" s="43">
        <v>0</v>
      </c>
      <c r="M18" s="44">
        <v>1359.3</v>
      </c>
      <c r="N18" s="44">
        <f>G18-M18</f>
        <v>21640.7</v>
      </c>
      <c r="O18" s="52" t="s">
        <v>23</v>
      </c>
    </row>
    <row r="19" spans="1:15" s="39" customFormat="1" ht="16.5" customHeight="1" x14ac:dyDescent="0.25">
      <c r="A19" s="12"/>
      <c r="B19" s="52">
        <f>+B18+1</f>
        <v>14</v>
      </c>
      <c r="C19" s="53" t="s">
        <v>44</v>
      </c>
      <c r="D19" s="54" t="s">
        <v>1</v>
      </c>
      <c r="E19" s="53" t="s">
        <v>21</v>
      </c>
      <c r="F19" s="54" t="s">
        <v>28</v>
      </c>
      <c r="G19" s="43">
        <v>30000</v>
      </c>
      <c r="H19" s="43">
        <v>30000</v>
      </c>
      <c r="I19" s="43">
        <v>861</v>
      </c>
      <c r="J19" s="43">
        <v>0</v>
      </c>
      <c r="K19" s="43">
        <v>912</v>
      </c>
      <c r="L19" s="43">
        <v>131.21</v>
      </c>
      <c r="M19" s="44">
        <f t="shared" si="0"/>
        <v>1904.21</v>
      </c>
      <c r="N19" s="44">
        <f t="shared" si="1"/>
        <v>28095.79</v>
      </c>
      <c r="O19" s="52" t="s">
        <v>23</v>
      </c>
    </row>
    <row r="20" spans="1:15" s="39" customFormat="1" ht="16.5" customHeight="1" x14ac:dyDescent="0.25">
      <c r="A20" s="12"/>
      <c r="B20" s="52">
        <f t="shared" si="2"/>
        <v>15</v>
      </c>
      <c r="C20" s="53" t="s">
        <v>588</v>
      </c>
      <c r="D20" s="54" t="s">
        <v>1</v>
      </c>
      <c r="E20" s="53" t="s">
        <v>21</v>
      </c>
      <c r="F20" s="54" t="s">
        <v>42</v>
      </c>
      <c r="G20" s="43">
        <v>40000</v>
      </c>
      <c r="H20" s="43">
        <f>+G20</f>
        <v>40000</v>
      </c>
      <c r="I20" s="43">
        <v>1148</v>
      </c>
      <c r="J20" s="43">
        <v>442.65</v>
      </c>
      <c r="K20" s="43">
        <v>1216</v>
      </c>
      <c r="L20" s="43">
        <f>31.21+2000</f>
        <v>2031.21</v>
      </c>
      <c r="M20" s="44">
        <f>+L20+K20+J20+I20</f>
        <v>4837.8600000000006</v>
      </c>
      <c r="N20" s="44">
        <f>+G20-M20</f>
        <v>35162.14</v>
      </c>
      <c r="O20" s="52" t="s">
        <v>19</v>
      </c>
    </row>
    <row r="21" spans="1:15" s="39" customFormat="1" ht="18.75" customHeight="1" x14ac:dyDescent="0.25">
      <c r="A21" s="12"/>
      <c r="B21" s="52">
        <f>+B20+1</f>
        <v>16</v>
      </c>
      <c r="C21" s="53" t="s">
        <v>46</v>
      </c>
      <c r="D21" s="54" t="s">
        <v>47</v>
      </c>
      <c r="E21" s="53" t="s">
        <v>21</v>
      </c>
      <c r="F21" s="54" t="s">
        <v>48</v>
      </c>
      <c r="G21" s="43">
        <v>65000</v>
      </c>
      <c r="H21" s="43">
        <v>65000</v>
      </c>
      <c r="I21" s="43">
        <v>1865.5</v>
      </c>
      <c r="J21" s="43">
        <f>2361.5+1722.98</f>
        <v>4084.48</v>
      </c>
      <c r="K21" s="43">
        <v>1976</v>
      </c>
      <c r="L21" s="43">
        <f>100+1663.42+31.21+2000+18685.34+1715.46+2637.48</f>
        <v>26832.91</v>
      </c>
      <c r="M21" s="44">
        <f>+L21+K21+J21+I21</f>
        <v>34758.89</v>
      </c>
      <c r="N21" s="44">
        <f t="shared" si="1"/>
        <v>30241.11</v>
      </c>
      <c r="O21" s="52" t="s">
        <v>19</v>
      </c>
    </row>
    <row r="22" spans="1:15" s="39" customFormat="1" ht="18.75" customHeight="1" x14ac:dyDescent="0.25">
      <c r="A22" s="37"/>
      <c r="B22" s="52">
        <f t="shared" si="2"/>
        <v>17</v>
      </c>
      <c r="C22" s="53" t="s">
        <v>49</v>
      </c>
      <c r="D22" s="54" t="s">
        <v>47</v>
      </c>
      <c r="E22" s="53" t="s">
        <v>21</v>
      </c>
      <c r="F22" s="54" t="s">
        <v>50</v>
      </c>
      <c r="G22" s="43">
        <v>75000</v>
      </c>
      <c r="H22" s="43">
        <v>75000</v>
      </c>
      <c r="I22" s="43">
        <v>2152.5</v>
      </c>
      <c r="J22" s="43">
        <v>6309.38</v>
      </c>
      <c r="K22" s="43">
        <v>2280</v>
      </c>
      <c r="L22" s="43">
        <v>21533.03</v>
      </c>
      <c r="M22" s="44">
        <f t="shared" si="0"/>
        <v>32274.91</v>
      </c>
      <c r="N22" s="44">
        <f t="shared" si="1"/>
        <v>42725.09</v>
      </c>
      <c r="O22" s="52" t="s">
        <v>19</v>
      </c>
    </row>
    <row r="23" spans="1:15" s="39" customFormat="1" ht="18" customHeight="1" x14ac:dyDescent="0.25">
      <c r="A23" s="12"/>
      <c r="B23" s="52">
        <f t="shared" si="2"/>
        <v>18</v>
      </c>
      <c r="C23" s="53" t="s">
        <v>51</v>
      </c>
      <c r="D23" s="54" t="s">
        <v>47</v>
      </c>
      <c r="E23" s="53" t="s">
        <v>25</v>
      </c>
      <c r="F23" s="54" t="s">
        <v>45</v>
      </c>
      <c r="G23" s="43">
        <v>30000</v>
      </c>
      <c r="H23" s="43">
        <v>30000</v>
      </c>
      <c r="I23" s="43">
        <v>861</v>
      </c>
      <c r="J23" s="43">
        <v>0</v>
      </c>
      <c r="K23" s="43">
        <v>912</v>
      </c>
      <c r="L23" s="43">
        <f>415.86+31.21+500+4259.77+1715.46+2637.48</f>
        <v>9559.7800000000007</v>
      </c>
      <c r="M23" s="44">
        <f>+L23+K23+J23+I23</f>
        <v>11332.78</v>
      </c>
      <c r="N23" s="44">
        <f>+G23-M23</f>
        <v>18667.22</v>
      </c>
      <c r="O23" s="52" t="s">
        <v>23</v>
      </c>
    </row>
    <row r="24" spans="1:15" s="39" customFormat="1" ht="19.5" customHeight="1" x14ac:dyDescent="0.25">
      <c r="A24" s="12"/>
      <c r="B24" s="52">
        <f t="shared" si="2"/>
        <v>19</v>
      </c>
      <c r="C24" s="53" t="s">
        <v>52</v>
      </c>
      <c r="D24" s="54" t="s">
        <v>53</v>
      </c>
      <c r="E24" s="53" t="s">
        <v>25</v>
      </c>
      <c r="F24" s="54" t="s">
        <v>54</v>
      </c>
      <c r="G24" s="43">
        <v>85000</v>
      </c>
      <c r="H24" s="43">
        <v>85000</v>
      </c>
      <c r="I24" s="43">
        <v>2439.5</v>
      </c>
      <c r="J24" s="43">
        <v>8576.99</v>
      </c>
      <c r="K24" s="43">
        <v>2584</v>
      </c>
      <c r="L24" s="43">
        <f>2425.22+31.21+100+500+10547.11</f>
        <v>13603.54</v>
      </c>
      <c r="M24" s="44">
        <f>+L24+K24+J24+I24</f>
        <v>27204.03</v>
      </c>
      <c r="N24" s="44">
        <f>+G24-M24</f>
        <v>57795.97</v>
      </c>
      <c r="O24" s="52" t="s">
        <v>19</v>
      </c>
    </row>
    <row r="25" spans="1:15" s="39" customFormat="1" x14ac:dyDescent="0.25">
      <c r="A25" s="12"/>
      <c r="B25" s="52">
        <f t="shared" si="2"/>
        <v>20</v>
      </c>
      <c r="C25" s="53" t="s">
        <v>55</v>
      </c>
      <c r="D25" s="54" t="s">
        <v>56</v>
      </c>
      <c r="E25" s="53" t="s">
        <v>25</v>
      </c>
      <c r="F25" s="54" t="s">
        <v>57</v>
      </c>
      <c r="G25" s="43">
        <v>41207.22</v>
      </c>
      <c r="H25" s="43">
        <v>41207.22</v>
      </c>
      <c r="I25" s="43">
        <v>1182.6500000000001</v>
      </c>
      <c r="J25" s="43">
        <v>613.03</v>
      </c>
      <c r="K25" s="43">
        <v>1252.7</v>
      </c>
      <c r="L25" s="43">
        <f>7063+27.21</f>
        <v>7090.21</v>
      </c>
      <c r="M25" s="44">
        <f t="shared" si="0"/>
        <v>10138.59</v>
      </c>
      <c r="N25" s="44">
        <f t="shared" si="1"/>
        <v>31068.63</v>
      </c>
      <c r="O25" s="52" t="s">
        <v>19</v>
      </c>
    </row>
    <row r="26" spans="1:15" s="39" customFormat="1" ht="18.75" customHeight="1" x14ac:dyDescent="0.25">
      <c r="A26" s="12"/>
      <c r="B26" s="52">
        <f t="shared" si="2"/>
        <v>21</v>
      </c>
      <c r="C26" s="53" t="s">
        <v>58</v>
      </c>
      <c r="D26" s="54" t="s">
        <v>59</v>
      </c>
      <c r="E26" s="53" t="s">
        <v>25</v>
      </c>
      <c r="F26" s="54" t="s">
        <v>60</v>
      </c>
      <c r="G26" s="43">
        <v>25000</v>
      </c>
      <c r="H26" s="43">
        <v>25000</v>
      </c>
      <c r="I26" s="43">
        <v>717.5</v>
      </c>
      <c r="J26" s="43">
        <v>0</v>
      </c>
      <c r="K26" s="43">
        <v>760</v>
      </c>
      <c r="L26" s="43">
        <v>31.21</v>
      </c>
      <c r="M26" s="44">
        <f t="shared" si="0"/>
        <v>1508.71</v>
      </c>
      <c r="N26" s="44">
        <f t="shared" si="1"/>
        <v>23491.29</v>
      </c>
      <c r="O26" s="52" t="s">
        <v>19</v>
      </c>
    </row>
    <row r="27" spans="1:15" s="39" customFormat="1" ht="18.75" customHeight="1" x14ac:dyDescent="0.25">
      <c r="A27" s="12"/>
      <c r="B27" s="52">
        <f t="shared" si="2"/>
        <v>22</v>
      </c>
      <c r="C27" s="53" t="s">
        <v>61</v>
      </c>
      <c r="D27" s="54" t="s">
        <v>59</v>
      </c>
      <c r="E27" s="53" t="s">
        <v>25</v>
      </c>
      <c r="F27" s="54" t="s">
        <v>62</v>
      </c>
      <c r="G27" s="43">
        <v>13750</v>
      </c>
      <c r="H27" s="43">
        <v>13750</v>
      </c>
      <c r="I27" s="43">
        <v>394.63</v>
      </c>
      <c r="J27" s="43">
        <v>0</v>
      </c>
      <c r="K27" s="43">
        <v>418</v>
      </c>
      <c r="L27" s="43">
        <f>8031.21+31.21</f>
        <v>8062.42</v>
      </c>
      <c r="M27" s="44">
        <f t="shared" si="0"/>
        <v>8875.0499999999993</v>
      </c>
      <c r="N27" s="44">
        <f t="shared" si="1"/>
        <v>4874.9500000000007</v>
      </c>
      <c r="O27" s="52" t="s">
        <v>23</v>
      </c>
    </row>
    <row r="28" spans="1:15" s="39" customFormat="1" x14ac:dyDescent="0.25">
      <c r="A28" s="12"/>
      <c r="B28" s="52">
        <f>+B27+1</f>
        <v>23</v>
      </c>
      <c r="C28" s="53" t="s">
        <v>617</v>
      </c>
      <c r="D28" s="54" t="s">
        <v>356</v>
      </c>
      <c r="E28" s="53" t="s">
        <v>25</v>
      </c>
      <c r="F28" s="53" t="s">
        <v>360</v>
      </c>
      <c r="G28" s="43">
        <v>15000</v>
      </c>
      <c r="H28" s="43">
        <v>15000</v>
      </c>
      <c r="I28" s="43">
        <v>430.5</v>
      </c>
      <c r="J28" s="43">
        <v>0</v>
      </c>
      <c r="K28" s="43">
        <v>456</v>
      </c>
      <c r="L28" s="43">
        <v>1000</v>
      </c>
      <c r="M28" s="44">
        <f>I28+J28+K28+L28</f>
        <v>1886.5</v>
      </c>
      <c r="N28" s="44">
        <f>G28-M28</f>
        <v>13113.5</v>
      </c>
      <c r="O28" s="52" t="s">
        <v>19</v>
      </c>
    </row>
    <row r="29" spans="1:15" s="39" customFormat="1" x14ac:dyDescent="0.25">
      <c r="A29" s="12"/>
      <c r="B29" s="52">
        <f>+B28+1</f>
        <v>24</v>
      </c>
      <c r="C29" s="53" t="s">
        <v>616</v>
      </c>
      <c r="D29" s="54" t="s">
        <v>356</v>
      </c>
      <c r="E29" s="53" t="s">
        <v>25</v>
      </c>
      <c r="F29" s="53" t="s">
        <v>360</v>
      </c>
      <c r="G29" s="43">
        <v>15000</v>
      </c>
      <c r="H29" s="43">
        <v>15000</v>
      </c>
      <c r="I29" s="43">
        <v>430.5</v>
      </c>
      <c r="J29" s="43">
        <v>0</v>
      </c>
      <c r="K29" s="43">
        <v>456</v>
      </c>
      <c r="L29" s="43">
        <v>1000</v>
      </c>
      <c r="M29" s="44">
        <f>I29+J29+K29+L29</f>
        <v>1886.5</v>
      </c>
      <c r="N29" s="44">
        <f>G29-M29</f>
        <v>13113.5</v>
      </c>
      <c r="O29" s="52" t="s">
        <v>19</v>
      </c>
    </row>
    <row r="30" spans="1:15" s="39" customFormat="1" ht="18" customHeight="1" x14ac:dyDescent="0.25">
      <c r="A30" s="12"/>
      <c r="B30" s="52">
        <f>+B29+1</f>
        <v>25</v>
      </c>
      <c r="C30" s="53" t="s">
        <v>63</v>
      </c>
      <c r="D30" s="54" t="s">
        <v>59</v>
      </c>
      <c r="E30" s="53" t="s">
        <v>25</v>
      </c>
      <c r="F30" s="54" t="s">
        <v>62</v>
      </c>
      <c r="G30" s="43">
        <v>13750</v>
      </c>
      <c r="H30" s="43">
        <v>13750</v>
      </c>
      <c r="I30" s="43">
        <v>394.63</v>
      </c>
      <c r="J30" s="43">
        <v>0</v>
      </c>
      <c r="K30" s="43">
        <v>418</v>
      </c>
      <c r="L30" s="43">
        <v>151.21</v>
      </c>
      <c r="M30" s="44">
        <f t="shared" si="0"/>
        <v>963.84</v>
      </c>
      <c r="N30" s="44">
        <f t="shared" si="1"/>
        <v>12786.16</v>
      </c>
      <c r="O30" s="52" t="s">
        <v>19</v>
      </c>
    </row>
    <row r="31" spans="1:15" s="39" customFormat="1" ht="18.75" customHeight="1" x14ac:dyDescent="0.25">
      <c r="A31" s="12"/>
      <c r="B31" s="52">
        <f t="shared" si="2"/>
        <v>26</v>
      </c>
      <c r="C31" s="53" t="s">
        <v>64</v>
      </c>
      <c r="D31" s="54" t="s">
        <v>59</v>
      </c>
      <c r="E31" s="53" t="s">
        <v>25</v>
      </c>
      <c r="F31" s="54" t="s">
        <v>62</v>
      </c>
      <c r="G31" s="43">
        <v>17000</v>
      </c>
      <c r="H31" s="43">
        <v>17000</v>
      </c>
      <c r="I31" s="43">
        <v>487.9</v>
      </c>
      <c r="J31" s="43">
        <v>0</v>
      </c>
      <c r="K31" s="43">
        <v>516.79999999999995</v>
      </c>
      <c r="L31" s="43">
        <v>1031.21</v>
      </c>
      <c r="M31" s="44">
        <f t="shared" si="0"/>
        <v>2035.9099999999999</v>
      </c>
      <c r="N31" s="44">
        <f t="shared" si="1"/>
        <v>14964.09</v>
      </c>
      <c r="O31" s="52" t="s">
        <v>19</v>
      </c>
    </row>
    <row r="32" spans="1:15" s="39" customFormat="1" ht="20.25" customHeight="1" x14ac:dyDescent="0.25">
      <c r="A32" s="12"/>
      <c r="B32" s="52">
        <f t="shared" si="2"/>
        <v>27</v>
      </c>
      <c r="C32" s="53" t="s">
        <v>65</v>
      </c>
      <c r="D32" s="54" t="s">
        <v>59</v>
      </c>
      <c r="E32" s="53" t="s">
        <v>25</v>
      </c>
      <c r="F32" s="54" t="s">
        <v>66</v>
      </c>
      <c r="G32" s="43">
        <v>20000</v>
      </c>
      <c r="H32" s="43">
        <v>20000</v>
      </c>
      <c r="I32" s="43">
        <v>574</v>
      </c>
      <c r="J32" s="43">
        <v>0</v>
      </c>
      <c r="K32" s="43">
        <v>608</v>
      </c>
      <c r="L32" s="43">
        <v>31.21</v>
      </c>
      <c r="M32" s="44">
        <f t="shared" si="0"/>
        <v>1213.21</v>
      </c>
      <c r="N32" s="44">
        <f t="shared" si="1"/>
        <v>18786.79</v>
      </c>
      <c r="O32" s="52" t="s">
        <v>19</v>
      </c>
    </row>
    <row r="33" spans="1:15" s="39" customFormat="1" ht="19.5" customHeight="1" x14ac:dyDescent="0.25">
      <c r="A33" s="12"/>
      <c r="B33" s="52">
        <f t="shared" si="2"/>
        <v>28</v>
      </c>
      <c r="C33" s="53" t="s">
        <v>67</v>
      </c>
      <c r="D33" s="54" t="s">
        <v>59</v>
      </c>
      <c r="E33" s="53" t="s">
        <v>25</v>
      </c>
      <c r="F33" s="54" t="s">
        <v>45</v>
      </c>
      <c r="G33" s="43">
        <v>30000</v>
      </c>
      <c r="H33" s="43">
        <v>30000</v>
      </c>
      <c r="I33" s="43">
        <v>861</v>
      </c>
      <c r="J33" s="43">
        <v>0</v>
      </c>
      <c r="K33" s="43">
        <v>912</v>
      </c>
      <c r="L33" s="43">
        <f>31.21+1000</f>
        <v>1031.21</v>
      </c>
      <c r="M33" s="44">
        <f t="shared" si="0"/>
        <v>2804.21</v>
      </c>
      <c r="N33" s="44">
        <f t="shared" si="1"/>
        <v>27195.79</v>
      </c>
      <c r="O33" s="52" t="s">
        <v>23</v>
      </c>
    </row>
    <row r="34" spans="1:15" s="39" customFormat="1" ht="16.5" customHeight="1" x14ac:dyDescent="0.25">
      <c r="A34" s="12"/>
      <c r="B34" s="52">
        <f t="shared" si="2"/>
        <v>29</v>
      </c>
      <c r="C34" s="53" t="s">
        <v>68</v>
      </c>
      <c r="D34" s="54" t="s">
        <v>59</v>
      </c>
      <c r="E34" s="53" t="s">
        <v>25</v>
      </c>
      <c r="F34" s="54" t="s">
        <v>69</v>
      </c>
      <c r="G34" s="43">
        <v>25000</v>
      </c>
      <c r="H34" s="43">
        <v>25000</v>
      </c>
      <c r="I34" s="43">
        <v>717.5</v>
      </c>
      <c r="J34" s="43">
        <v>0</v>
      </c>
      <c r="K34" s="43">
        <v>760</v>
      </c>
      <c r="L34" s="43">
        <v>5031.21</v>
      </c>
      <c r="M34" s="44">
        <f t="shared" si="0"/>
        <v>6508.71</v>
      </c>
      <c r="N34" s="44">
        <f t="shared" si="1"/>
        <v>18491.29</v>
      </c>
      <c r="O34" s="52" t="s">
        <v>23</v>
      </c>
    </row>
    <row r="35" spans="1:15" s="39" customFormat="1" ht="18.75" customHeight="1" x14ac:dyDescent="0.25">
      <c r="A35" s="12"/>
      <c r="B35" s="52">
        <f t="shared" si="2"/>
        <v>30</v>
      </c>
      <c r="C35" s="53" t="s">
        <v>70</v>
      </c>
      <c r="D35" s="54" t="s">
        <v>59</v>
      </c>
      <c r="E35" s="53" t="s">
        <v>25</v>
      </c>
      <c r="F35" s="54" t="s">
        <v>62</v>
      </c>
      <c r="G35" s="43">
        <v>17000</v>
      </c>
      <c r="H35" s="43">
        <v>17000</v>
      </c>
      <c r="I35" s="43">
        <v>487.9</v>
      </c>
      <c r="J35" s="43">
        <v>0</v>
      </c>
      <c r="K35" s="43">
        <v>516.79999999999995</v>
      </c>
      <c r="L35" s="43">
        <f>31.21+1500+2637.48</f>
        <v>4168.6900000000005</v>
      </c>
      <c r="M35" s="44">
        <f t="shared" si="0"/>
        <v>5173.3900000000003</v>
      </c>
      <c r="N35" s="44">
        <f t="shared" si="1"/>
        <v>11826.61</v>
      </c>
      <c r="O35" s="52" t="s">
        <v>23</v>
      </c>
    </row>
    <row r="36" spans="1:15" s="39" customFormat="1" ht="21" customHeight="1" x14ac:dyDescent="0.25">
      <c r="A36" s="12"/>
      <c r="B36" s="52">
        <f t="shared" si="2"/>
        <v>31</v>
      </c>
      <c r="C36" s="53" t="s">
        <v>71</v>
      </c>
      <c r="D36" s="54" t="s">
        <v>59</v>
      </c>
      <c r="E36" s="53" t="s">
        <v>25</v>
      </c>
      <c r="F36" s="54" t="s">
        <v>72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31.21</v>
      </c>
      <c r="M36" s="44">
        <f t="shared" si="0"/>
        <v>1804.21</v>
      </c>
      <c r="N36" s="44">
        <f t="shared" si="1"/>
        <v>28195.79</v>
      </c>
      <c r="O36" s="52" t="s">
        <v>19</v>
      </c>
    </row>
    <row r="37" spans="1:15" s="39" customFormat="1" ht="18" customHeight="1" x14ac:dyDescent="0.25">
      <c r="A37" s="12"/>
      <c r="B37" s="52">
        <f t="shared" si="2"/>
        <v>32</v>
      </c>
      <c r="C37" s="53" t="s">
        <v>73</v>
      </c>
      <c r="D37" s="54" t="s">
        <v>59</v>
      </c>
      <c r="E37" s="53" t="s">
        <v>25</v>
      </c>
      <c r="F37" s="54" t="s">
        <v>45</v>
      </c>
      <c r="G37" s="43">
        <v>30000</v>
      </c>
      <c r="H37" s="43">
        <v>30000</v>
      </c>
      <c r="I37" s="43">
        <v>861</v>
      </c>
      <c r="J37" s="43">
        <v>0</v>
      </c>
      <c r="K37" s="43">
        <v>912</v>
      </c>
      <c r="L37" s="43">
        <v>131.21</v>
      </c>
      <c r="M37" s="44">
        <f t="shared" si="0"/>
        <v>1904.21</v>
      </c>
      <c r="N37" s="44">
        <f t="shared" si="1"/>
        <v>28095.79</v>
      </c>
      <c r="O37" s="52" t="s">
        <v>23</v>
      </c>
    </row>
    <row r="38" spans="1:15" s="39" customFormat="1" ht="18" customHeight="1" x14ac:dyDescent="0.25">
      <c r="A38" s="12"/>
      <c r="B38" s="52">
        <f t="shared" si="2"/>
        <v>33</v>
      </c>
      <c r="C38" s="53" t="s">
        <v>74</v>
      </c>
      <c r="D38" s="54" t="s">
        <v>59</v>
      </c>
      <c r="E38" s="53" t="s">
        <v>25</v>
      </c>
      <c r="F38" s="54" t="s">
        <v>75</v>
      </c>
      <c r="G38" s="43">
        <v>30000</v>
      </c>
      <c r="H38" s="43">
        <v>30000</v>
      </c>
      <c r="I38" s="43">
        <v>861</v>
      </c>
      <c r="J38" s="43">
        <v>0</v>
      </c>
      <c r="K38" s="43">
        <v>912</v>
      </c>
      <c r="L38" s="43">
        <v>0</v>
      </c>
      <c r="M38" s="44">
        <f t="shared" si="0"/>
        <v>1773</v>
      </c>
      <c r="N38" s="44">
        <f t="shared" si="1"/>
        <v>28227</v>
      </c>
      <c r="O38" s="52" t="s">
        <v>23</v>
      </c>
    </row>
    <row r="39" spans="1:15" s="39" customFormat="1" ht="19.5" customHeight="1" x14ac:dyDescent="0.25">
      <c r="A39" s="12"/>
      <c r="B39" s="52">
        <f t="shared" si="2"/>
        <v>34</v>
      </c>
      <c r="C39" s="53" t="s">
        <v>76</v>
      </c>
      <c r="D39" s="54" t="s">
        <v>59</v>
      </c>
      <c r="E39" s="53" t="s">
        <v>25</v>
      </c>
      <c r="F39" s="54" t="s">
        <v>62</v>
      </c>
      <c r="G39" s="43">
        <v>14850</v>
      </c>
      <c r="H39" s="43">
        <v>14850</v>
      </c>
      <c r="I39" s="43">
        <v>426.2</v>
      </c>
      <c r="J39" s="43">
        <v>0</v>
      </c>
      <c r="K39" s="43">
        <v>451.44</v>
      </c>
      <c r="L39" s="43">
        <v>3938.52</v>
      </c>
      <c r="M39" s="44">
        <f t="shared" si="0"/>
        <v>4816.16</v>
      </c>
      <c r="N39" s="44">
        <f t="shared" si="1"/>
        <v>10033.84</v>
      </c>
      <c r="O39" s="52" t="s">
        <v>23</v>
      </c>
    </row>
    <row r="40" spans="1:15" s="39" customFormat="1" x14ac:dyDescent="0.25">
      <c r="A40" s="12"/>
      <c r="B40" s="52">
        <f t="shared" si="2"/>
        <v>35</v>
      </c>
      <c r="C40" s="53" t="s">
        <v>587</v>
      </c>
      <c r="D40" s="54" t="s">
        <v>59</v>
      </c>
      <c r="E40" s="53" t="s">
        <v>25</v>
      </c>
      <c r="F40" s="54" t="s">
        <v>66</v>
      </c>
      <c r="G40" s="43">
        <v>20000</v>
      </c>
      <c r="H40" s="43">
        <f>+G40</f>
        <v>20000</v>
      </c>
      <c r="I40" s="43">
        <f>+G40*2.87%</f>
        <v>574</v>
      </c>
      <c r="J40" s="43">
        <v>0</v>
      </c>
      <c r="K40" s="43">
        <f>+G40*3.04%</f>
        <v>608</v>
      </c>
      <c r="L40" s="43">
        <f>1000+31.21</f>
        <v>1031.21</v>
      </c>
      <c r="M40" s="44">
        <f>+L40+K40+I40</f>
        <v>2213.21</v>
      </c>
      <c r="N40" s="44">
        <f t="shared" si="1"/>
        <v>17786.79</v>
      </c>
      <c r="O40" s="52" t="s">
        <v>19</v>
      </c>
    </row>
    <row r="41" spans="1:15" s="39" customFormat="1" ht="21" customHeight="1" x14ac:dyDescent="0.25">
      <c r="A41" s="12"/>
      <c r="B41" s="52">
        <f t="shared" si="2"/>
        <v>36</v>
      </c>
      <c r="C41" s="53" t="s">
        <v>77</v>
      </c>
      <c r="D41" s="54" t="s">
        <v>78</v>
      </c>
      <c r="E41" s="53" t="s">
        <v>25</v>
      </c>
      <c r="F41" s="54" t="s">
        <v>75</v>
      </c>
      <c r="G41" s="43">
        <v>30000</v>
      </c>
      <c r="H41" s="43">
        <v>30000</v>
      </c>
      <c r="I41" s="43">
        <v>861</v>
      </c>
      <c r="J41" s="43">
        <v>0</v>
      </c>
      <c r="K41" s="43">
        <v>912</v>
      </c>
      <c r="L41" s="43">
        <v>3647.07</v>
      </c>
      <c r="M41" s="44">
        <f>+L41+K41+J41+I41</f>
        <v>5420.07</v>
      </c>
      <c r="N41" s="44">
        <f>+G41-M41</f>
        <v>24579.93</v>
      </c>
      <c r="O41" s="52" t="s">
        <v>19</v>
      </c>
    </row>
    <row r="42" spans="1:15" s="39" customFormat="1" x14ac:dyDescent="0.25">
      <c r="A42" s="12"/>
      <c r="B42" s="52">
        <f t="shared" si="2"/>
        <v>37</v>
      </c>
      <c r="C42" s="53" t="s">
        <v>79</v>
      </c>
      <c r="D42" s="54" t="s">
        <v>80</v>
      </c>
      <c r="E42" s="53" t="s">
        <v>21</v>
      </c>
      <c r="F42" s="54" t="s">
        <v>81</v>
      </c>
      <c r="G42" s="43">
        <v>75000</v>
      </c>
      <c r="H42" s="43">
        <v>75000</v>
      </c>
      <c r="I42" s="43">
        <v>2152.5</v>
      </c>
      <c r="J42" s="43">
        <v>5966.28</v>
      </c>
      <c r="K42" s="43">
        <v>2280</v>
      </c>
      <c r="L42" s="43">
        <f>180+2079.28+31.21+500+1715.46+2637.48</f>
        <v>7143.43</v>
      </c>
      <c r="M42" s="44">
        <f>+L42+K42+J42+I42</f>
        <v>17542.21</v>
      </c>
      <c r="N42" s="44">
        <f>+G42-M42</f>
        <v>57457.79</v>
      </c>
      <c r="O42" s="52" t="s">
        <v>23</v>
      </c>
    </row>
    <row r="43" spans="1:15" s="39" customFormat="1" ht="17.25" customHeight="1" x14ac:dyDescent="0.25">
      <c r="A43" s="12"/>
      <c r="B43" s="52">
        <f t="shared" si="2"/>
        <v>38</v>
      </c>
      <c r="C43" s="53" t="s">
        <v>589</v>
      </c>
      <c r="D43" s="54" t="s">
        <v>80</v>
      </c>
      <c r="E43" s="53" t="s">
        <v>21</v>
      </c>
      <c r="F43" s="54" t="s">
        <v>590</v>
      </c>
      <c r="G43" s="43">
        <v>40000</v>
      </c>
      <c r="H43" s="43">
        <v>40000</v>
      </c>
      <c r="I43" s="43">
        <v>1148</v>
      </c>
      <c r="J43" s="43">
        <v>442.65</v>
      </c>
      <c r="K43" s="43">
        <v>1216</v>
      </c>
      <c r="L43" s="43">
        <f>415.86+31.21+1000</f>
        <v>1447.07</v>
      </c>
      <c r="M43" s="44">
        <f t="shared" si="0"/>
        <v>4253.72</v>
      </c>
      <c r="N43" s="44">
        <f t="shared" si="1"/>
        <v>35746.28</v>
      </c>
      <c r="O43" s="52" t="s">
        <v>23</v>
      </c>
    </row>
    <row r="44" spans="1:15" s="39" customFormat="1" x14ac:dyDescent="0.25">
      <c r="A44" s="12"/>
      <c r="B44" s="52">
        <f t="shared" si="2"/>
        <v>39</v>
      </c>
      <c r="C44" s="53" t="s">
        <v>82</v>
      </c>
      <c r="D44" s="54" t="s">
        <v>83</v>
      </c>
      <c r="E44" s="53" t="s">
        <v>25</v>
      </c>
      <c r="F44" s="54" t="s">
        <v>84</v>
      </c>
      <c r="G44" s="43">
        <v>60000</v>
      </c>
      <c r="H44" s="43">
        <v>60000</v>
      </c>
      <c r="I44" s="43">
        <v>1722</v>
      </c>
      <c r="J44" s="43">
        <v>3486.68</v>
      </c>
      <c r="K44" s="43">
        <v>1824</v>
      </c>
      <c r="L44" s="43">
        <f>140+1507.48+31.21+6000+8789.26+2637.48</f>
        <v>19105.43</v>
      </c>
      <c r="M44" s="44">
        <f>+L44+K44+J44+I44</f>
        <v>26138.11</v>
      </c>
      <c r="N44" s="44">
        <f>+G44-M44</f>
        <v>33861.89</v>
      </c>
      <c r="O44" s="52" t="s">
        <v>19</v>
      </c>
    </row>
    <row r="45" spans="1:15" s="39" customFormat="1" ht="19.5" customHeight="1" x14ac:dyDescent="0.25">
      <c r="A45" s="12"/>
      <c r="B45" s="52">
        <f t="shared" si="2"/>
        <v>40</v>
      </c>
      <c r="C45" s="53" t="s">
        <v>86</v>
      </c>
      <c r="D45" s="54" t="s">
        <v>83</v>
      </c>
      <c r="E45" s="53" t="s">
        <v>25</v>
      </c>
      <c r="F45" s="54" t="s">
        <v>75</v>
      </c>
      <c r="G45" s="43">
        <v>30000</v>
      </c>
      <c r="H45" s="43">
        <v>30000</v>
      </c>
      <c r="I45" s="43">
        <v>861</v>
      </c>
      <c r="J45" s="43">
        <v>0</v>
      </c>
      <c r="K45" s="43">
        <v>912</v>
      </c>
      <c r="L45" s="43">
        <v>0</v>
      </c>
      <c r="M45" s="44">
        <f t="shared" si="0"/>
        <v>1773</v>
      </c>
      <c r="N45" s="44">
        <f t="shared" si="1"/>
        <v>28227</v>
      </c>
      <c r="O45" s="52" t="s">
        <v>23</v>
      </c>
    </row>
    <row r="46" spans="1:15" s="39" customFormat="1" ht="20.25" customHeight="1" x14ac:dyDescent="0.25">
      <c r="A46" s="12"/>
      <c r="B46" s="52">
        <f t="shared" si="2"/>
        <v>41</v>
      </c>
      <c r="C46" s="53" t="s">
        <v>87</v>
      </c>
      <c r="D46" s="54" t="s">
        <v>88</v>
      </c>
      <c r="E46" s="53" t="s">
        <v>25</v>
      </c>
      <c r="F46" s="54" t="s">
        <v>89</v>
      </c>
      <c r="G46" s="43">
        <v>33500</v>
      </c>
      <c r="H46" s="43">
        <v>33500</v>
      </c>
      <c r="I46" s="43">
        <v>961.45</v>
      </c>
      <c r="J46" s="43">
        <v>0</v>
      </c>
      <c r="K46" s="43">
        <v>1018.4</v>
      </c>
      <c r="L46" s="43">
        <v>14162.53</v>
      </c>
      <c r="M46" s="44">
        <f t="shared" si="0"/>
        <v>16142.380000000001</v>
      </c>
      <c r="N46" s="44">
        <f t="shared" si="1"/>
        <v>17357.62</v>
      </c>
      <c r="O46" s="52" t="s">
        <v>19</v>
      </c>
    </row>
    <row r="47" spans="1:15" s="39" customFormat="1" ht="21" customHeight="1" x14ac:dyDescent="0.25">
      <c r="A47" s="37"/>
      <c r="B47" s="52">
        <f t="shared" si="2"/>
        <v>42</v>
      </c>
      <c r="C47" s="53" t="s">
        <v>90</v>
      </c>
      <c r="D47" s="54" t="s">
        <v>88</v>
      </c>
      <c r="E47" s="53" t="s">
        <v>25</v>
      </c>
      <c r="F47" s="54" t="s">
        <v>89</v>
      </c>
      <c r="G47" s="43">
        <v>33500</v>
      </c>
      <c r="H47" s="43">
        <v>33500</v>
      </c>
      <c r="I47" s="43">
        <v>961.45</v>
      </c>
      <c r="J47" s="43">
        <v>0</v>
      </c>
      <c r="K47" s="43">
        <v>1018.4</v>
      </c>
      <c r="L47" s="43">
        <v>7164.57</v>
      </c>
      <c r="M47" s="44">
        <f>+L47+K47+J47+I47</f>
        <v>9144.42</v>
      </c>
      <c r="N47" s="44">
        <f t="shared" si="1"/>
        <v>24355.58</v>
      </c>
      <c r="O47" s="52" t="s">
        <v>19</v>
      </c>
    </row>
    <row r="48" spans="1:15" s="39" customFormat="1" ht="22.5" x14ac:dyDescent="0.25">
      <c r="A48" s="12"/>
      <c r="B48" s="52">
        <f t="shared" si="2"/>
        <v>43</v>
      </c>
      <c r="C48" s="53" t="s">
        <v>91</v>
      </c>
      <c r="D48" s="54" t="s">
        <v>88</v>
      </c>
      <c r="E48" s="53" t="s">
        <v>25</v>
      </c>
      <c r="F48" s="54" t="s">
        <v>89</v>
      </c>
      <c r="G48" s="43">
        <v>40000</v>
      </c>
      <c r="H48" s="43">
        <v>40000</v>
      </c>
      <c r="I48" s="43">
        <v>1148</v>
      </c>
      <c r="J48" s="43">
        <v>0</v>
      </c>
      <c r="K48" s="43">
        <v>1216</v>
      </c>
      <c r="L48" s="43">
        <f>1663.42+31.21+3430.92</f>
        <v>5125.55</v>
      </c>
      <c r="M48" s="44">
        <f t="shared" si="0"/>
        <v>7489.55</v>
      </c>
      <c r="N48" s="44">
        <f t="shared" si="1"/>
        <v>32510.45</v>
      </c>
      <c r="O48" s="52" t="s">
        <v>19</v>
      </c>
    </row>
    <row r="49" spans="1:15" s="39" customFormat="1" x14ac:dyDescent="0.25">
      <c r="A49" s="12"/>
      <c r="B49" s="52">
        <f t="shared" si="2"/>
        <v>44</v>
      </c>
      <c r="C49" s="53" t="s">
        <v>92</v>
      </c>
      <c r="D49" s="54" t="s">
        <v>59</v>
      </c>
      <c r="E49" s="53" t="s">
        <v>21</v>
      </c>
      <c r="F49" s="54" t="s">
        <v>75</v>
      </c>
      <c r="G49" s="43">
        <v>30000</v>
      </c>
      <c r="H49" s="43">
        <v>30000</v>
      </c>
      <c r="I49" s="43">
        <v>861</v>
      </c>
      <c r="J49" s="43">
        <v>0</v>
      </c>
      <c r="K49" s="43">
        <v>912</v>
      </c>
      <c r="L49" s="43">
        <v>31.21</v>
      </c>
      <c r="M49" s="44">
        <f t="shared" si="0"/>
        <v>1804.21</v>
      </c>
      <c r="N49" s="44">
        <f t="shared" si="1"/>
        <v>28195.79</v>
      </c>
      <c r="O49" s="52" t="s">
        <v>23</v>
      </c>
    </row>
    <row r="50" spans="1:15" s="39" customFormat="1" x14ac:dyDescent="0.25">
      <c r="A50" s="12"/>
      <c r="B50" s="60">
        <v>45</v>
      </c>
      <c r="C50" s="61" t="s">
        <v>620</v>
      </c>
      <c r="D50" s="62" t="s">
        <v>59</v>
      </c>
      <c r="E50" s="61" t="s">
        <v>25</v>
      </c>
      <c r="F50" s="62" t="s">
        <v>622</v>
      </c>
      <c r="G50" s="63">
        <v>15000</v>
      </c>
      <c r="H50" s="63">
        <v>15000</v>
      </c>
      <c r="I50" s="63">
        <v>430.5</v>
      </c>
      <c r="J50" s="63">
        <v>0</v>
      </c>
      <c r="K50" s="63">
        <v>456</v>
      </c>
      <c r="L50" s="63">
        <v>0</v>
      </c>
      <c r="M50" s="64">
        <f t="shared" si="0"/>
        <v>886.5</v>
      </c>
      <c r="N50" s="64">
        <f t="shared" si="1"/>
        <v>14113.5</v>
      </c>
      <c r="O50" s="60" t="s">
        <v>19</v>
      </c>
    </row>
    <row r="51" spans="1:15" s="39" customFormat="1" x14ac:dyDescent="0.25">
      <c r="A51" s="12"/>
      <c r="B51" s="60">
        <v>46</v>
      </c>
      <c r="C51" s="61" t="s">
        <v>621</v>
      </c>
      <c r="D51" s="62" t="s">
        <v>59</v>
      </c>
      <c r="E51" s="61" t="s">
        <v>25</v>
      </c>
      <c r="F51" s="62" t="s">
        <v>75</v>
      </c>
      <c r="G51" s="63">
        <v>19717.5</v>
      </c>
      <c r="H51" s="63">
        <v>19717.5</v>
      </c>
      <c r="I51" s="63">
        <v>565.89</v>
      </c>
      <c r="J51" s="63">
        <v>0</v>
      </c>
      <c r="K51" s="63">
        <v>599.41</v>
      </c>
      <c r="L51" s="63">
        <v>0</v>
      </c>
      <c r="M51" s="64">
        <f t="shared" si="0"/>
        <v>1165.3</v>
      </c>
      <c r="N51" s="64">
        <f t="shared" si="1"/>
        <v>18552.2</v>
      </c>
      <c r="O51" s="60" t="s">
        <v>23</v>
      </c>
    </row>
    <row r="52" spans="1:15" s="39" customFormat="1" x14ac:dyDescent="0.25">
      <c r="A52" s="12"/>
      <c r="B52" s="52">
        <v>47</v>
      </c>
      <c r="C52" s="53" t="s">
        <v>93</v>
      </c>
      <c r="D52" s="54" t="s">
        <v>59</v>
      </c>
      <c r="E52" s="53" t="s">
        <v>25</v>
      </c>
      <c r="F52" s="54" t="s">
        <v>28</v>
      </c>
      <c r="G52" s="43">
        <v>20000</v>
      </c>
      <c r="H52" s="43">
        <v>20000</v>
      </c>
      <c r="I52" s="43">
        <v>574</v>
      </c>
      <c r="J52" s="43">
        <v>0</v>
      </c>
      <c r="K52" s="43">
        <v>608</v>
      </c>
      <c r="L52" s="43">
        <f>831.71+31.21+1000+6518.26+2637.48</f>
        <v>11018.66</v>
      </c>
      <c r="M52" s="44">
        <f>+L52+K52+J52+I52</f>
        <v>12200.66</v>
      </c>
      <c r="N52" s="44">
        <f>+G52-M52</f>
        <v>7799.34</v>
      </c>
      <c r="O52" s="52" t="s">
        <v>23</v>
      </c>
    </row>
    <row r="53" spans="1:15" s="39" customFormat="1" x14ac:dyDescent="0.25">
      <c r="A53" s="37"/>
      <c r="B53" s="52">
        <f t="shared" si="2"/>
        <v>48</v>
      </c>
      <c r="C53" s="53" t="s">
        <v>94</v>
      </c>
      <c r="D53" s="54" t="s">
        <v>59</v>
      </c>
      <c r="E53" s="53" t="s">
        <v>21</v>
      </c>
      <c r="F53" s="54" t="s">
        <v>95</v>
      </c>
      <c r="G53" s="43">
        <v>40000</v>
      </c>
      <c r="H53" s="43">
        <v>40000</v>
      </c>
      <c r="I53" s="43">
        <v>1148</v>
      </c>
      <c r="J53" s="43">
        <v>442.65</v>
      </c>
      <c r="K53" s="43">
        <v>1216</v>
      </c>
      <c r="L53" s="43">
        <v>2127.0700000000002</v>
      </c>
      <c r="M53" s="44">
        <f t="shared" si="0"/>
        <v>4933.72</v>
      </c>
      <c r="N53" s="44">
        <f t="shared" si="1"/>
        <v>35066.28</v>
      </c>
      <c r="O53" s="52" t="s">
        <v>23</v>
      </c>
    </row>
    <row r="54" spans="1:15" s="39" customFormat="1" x14ac:dyDescent="0.25">
      <c r="A54" s="12"/>
      <c r="B54" s="52">
        <f t="shared" si="2"/>
        <v>49</v>
      </c>
      <c r="C54" s="53" t="s">
        <v>96</v>
      </c>
      <c r="D54" s="54" t="s">
        <v>59</v>
      </c>
      <c r="E54" s="53" t="s">
        <v>25</v>
      </c>
      <c r="F54" s="54" t="s">
        <v>62</v>
      </c>
      <c r="G54" s="43">
        <v>15000</v>
      </c>
      <c r="H54" s="43">
        <v>15000</v>
      </c>
      <c r="I54" s="43">
        <v>430.5</v>
      </c>
      <c r="J54" s="43">
        <v>0</v>
      </c>
      <c r="K54" s="43">
        <v>456</v>
      </c>
      <c r="L54" s="43">
        <v>31.21</v>
      </c>
      <c r="M54" s="44">
        <f t="shared" si="0"/>
        <v>917.71</v>
      </c>
      <c r="N54" s="44">
        <f t="shared" si="1"/>
        <v>14082.29</v>
      </c>
      <c r="O54" s="52" t="s">
        <v>19</v>
      </c>
    </row>
    <row r="55" spans="1:15" s="39" customFormat="1" x14ac:dyDescent="0.25">
      <c r="A55" s="12"/>
      <c r="B55" s="52">
        <f t="shared" si="2"/>
        <v>50</v>
      </c>
      <c r="C55" s="53" t="s">
        <v>97</v>
      </c>
      <c r="D55" s="54" t="s">
        <v>59</v>
      </c>
      <c r="E55" s="53" t="s">
        <v>25</v>
      </c>
      <c r="F55" s="54" t="s">
        <v>62</v>
      </c>
      <c r="G55" s="43">
        <v>15000</v>
      </c>
      <c r="H55" s="43">
        <v>15000</v>
      </c>
      <c r="I55" s="43">
        <v>430.5</v>
      </c>
      <c r="J55" s="43">
        <v>0</v>
      </c>
      <c r="K55" s="43">
        <v>456</v>
      </c>
      <c r="L55" s="43">
        <f>415.86+31.21+500+2636.79</f>
        <v>3583.8599999999997</v>
      </c>
      <c r="M55" s="44">
        <f t="shared" si="0"/>
        <v>4470.3599999999997</v>
      </c>
      <c r="N55" s="44">
        <f t="shared" si="1"/>
        <v>10529.64</v>
      </c>
      <c r="O55" s="52" t="s">
        <v>23</v>
      </c>
    </row>
    <row r="56" spans="1:15" s="39" customFormat="1" x14ac:dyDescent="0.25">
      <c r="A56" s="12"/>
      <c r="B56" s="52">
        <f t="shared" si="2"/>
        <v>51</v>
      </c>
      <c r="C56" s="53" t="s">
        <v>98</v>
      </c>
      <c r="D56" s="54" t="s">
        <v>59</v>
      </c>
      <c r="E56" s="53" t="s">
        <v>25</v>
      </c>
      <c r="F56" s="54" t="s">
        <v>62</v>
      </c>
      <c r="G56" s="43">
        <v>15000</v>
      </c>
      <c r="H56" s="43">
        <v>15000</v>
      </c>
      <c r="I56" s="43">
        <v>430.5</v>
      </c>
      <c r="J56" s="43">
        <v>0</v>
      </c>
      <c r="K56" s="43">
        <v>456</v>
      </c>
      <c r="L56" s="43">
        <f>831.71+31.21+1000+3182.6+1715.46</f>
        <v>6760.9800000000005</v>
      </c>
      <c r="M56" s="44">
        <f t="shared" si="0"/>
        <v>7647.4800000000005</v>
      </c>
      <c r="N56" s="44">
        <f t="shared" si="1"/>
        <v>7352.5199999999995</v>
      </c>
      <c r="O56" s="52" t="s">
        <v>23</v>
      </c>
    </row>
    <row r="57" spans="1:15" s="39" customFormat="1" ht="18" customHeight="1" x14ac:dyDescent="0.25">
      <c r="A57" s="12"/>
      <c r="B57" s="52">
        <f t="shared" si="2"/>
        <v>52</v>
      </c>
      <c r="C57" s="53" t="s">
        <v>99</v>
      </c>
      <c r="D57" s="54" t="s">
        <v>59</v>
      </c>
      <c r="E57" s="53" t="s">
        <v>21</v>
      </c>
      <c r="F57" s="54" t="s">
        <v>75</v>
      </c>
      <c r="G57" s="43">
        <v>22000</v>
      </c>
      <c r="H57" s="43">
        <v>22000</v>
      </c>
      <c r="I57" s="43">
        <v>631.4</v>
      </c>
      <c r="J57" s="43">
        <v>0</v>
      </c>
      <c r="K57" s="43">
        <v>668.8</v>
      </c>
      <c r="L57" s="43">
        <f>4479.29+31.21+1000+6854.84+2637.48</f>
        <v>15002.82</v>
      </c>
      <c r="M57" s="44">
        <f t="shared" si="0"/>
        <v>16303.02</v>
      </c>
      <c r="N57" s="44">
        <f t="shared" si="1"/>
        <v>5696.98</v>
      </c>
      <c r="O57" s="52" t="s">
        <v>23</v>
      </c>
    </row>
    <row r="58" spans="1:15" s="39" customFormat="1" ht="19.5" customHeight="1" x14ac:dyDescent="0.25">
      <c r="A58" s="12"/>
      <c r="B58" s="52">
        <f t="shared" si="2"/>
        <v>53</v>
      </c>
      <c r="C58" s="53" t="s">
        <v>100</v>
      </c>
      <c r="D58" s="54" t="s">
        <v>59</v>
      </c>
      <c r="E58" s="53" t="s">
        <v>25</v>
      </c>
      <c r="F58" s="54" t="s">
        <v>62</v>
      </c>
      <c r="G58" s="43">
        <v>15000</v>
      </c>
      <c r="H58" s="43">
        <v>15000</v>
      </c>
      <c r="I58" s="43">
        <v>430.5</v>
      </c>
      <c r="J58" s="43">
        <v>0</v>
      </c>
      <c r="K58" s="43">
        <v>456</v>
      </c>
      <c r="L58" s="43">
        <f>1031.21+3672.23</f>
        <v>4703.4400000000005</v>
      </c>
      <c r="M58" s="44">
        <f t="shared" si="0"/>
        <v>5589.9400000000005</v>
      </c>
      <c r="N58" s="44">
        <f t="shared" si="1"/>
        <v>9410.06</v>
      </c>
      <c r="O58" s="52" t="s">
        <v>23</v>
      </c>
    </row>
    <row r="59" spans="1:15" s="39" customFormat="1" x14ac:dyDescent="0.25">
      <c r="A59" s="12"/>
      <c r="B59" s="52">
        <f t="shared" si="2"/>
        <v>54</v>
      </c>
      <c r="C59" s="53" t="s">
        <v>101</v>
      </c>
      <c r="D59" s="54" t="s">
        <v>59</v>
      </c>
      <c r="E59" s="53" t="s">
        <v>25</v>
      </c>
      <c r="F59" s="54" t="s">
        <v>62</v>
      </c>
      <c r="G59" s="43">
        <v>15000</v>
      </c>
      <c r="H59" s="43">
        <v>15000</v>
      </c>
      <c r="I59" s="43">
        <v>430.5</v>
      </c>
      <c r="J59" s="43">
        <v>0</v>
      </c>
      <c r="K59" s="43">
        <v>456</v>
      </c>
      <c r="L59" s="43">
        <f>2885.79+31.21+300+3515.68</f>
        <v>6732.68</v>
      </c>
      <c r="M59" s="44">
        <f>+L59+K59+J59+I59</f>
        <v>7619.18</v>
      </c>
      <c r="N59" s="44">
        <f>+G59-M59</f>
        <v>7380.82</v>
      </c>
      <c r="O59" s="52" t="s">
        <v>23</v>
      </c>
    </row>
    <row r="60" spans="1:15" s="39" customFormat="1" x14ac:dyDescent="0.25">
      <c r="A60" s="12"/>
      <c r="B60" s="52">
        <f t="shared" si="2"/>
        <v>55</v>
      </c>
      <c r="C60" s="53" t="s">
        <v>102</v>
      </c>
      <c r="D60" s="54" t="s">
        <v>59</v>
      </c>
      <c r="E60" s="53" t="s">
        <v>25</v>
      </c>
      <c r="F60" s="54" t="s">
        <v>62</v>
      </c>
      <c r="G60" s="43">
        <v>15000</v>
      </c>
      <c r="H60" s="43">
        <v>15000</v>
      </c>
      <c r="I60" s="43">
        <v>430.5</v>
      </c>
      <c r="J60" s="43">
        <v>0</v>
      </c>
      <c r="K60" s="43">
        <v>456</v>
      </c>
      <c r="L60" s="43">
        <f>31.21+500</f>
        <v>531.21</v>
      </c>
      <c r="M60" s="44">
        <f t="shared" si="0"/>
        <v>1417.71</v>
      </c>
      <c r="N60" s="44">
        <f t="shared" si="1"/>
        <v>13582.29</v>
      </c>
      <c r="O60" s="52" t="s">
        <v>23</v>
      </c>
    </row>
    <row r="61" spans="1:15" s="39" customFormat="1" x14ac:dyDescent="0.25">
      <c r="A61" s="12"/>
      <c r="B61" s="52">
        <f t="shared" si="2"/>
        <v>56</v>
      </c>
      <c r="C61" s="53" t="s">
        <v>103</v>
      </c>
      <c r="D61" s="54" t="s">
        <v>59</v>
      </c>
      <c r="E61" s="53" t="s">
        <v>25</v>
      </c>
      <c r="F61" s="54" t="s">
        <v>62</v>
      </c>
      <c r="G61" s="43">
        <v>11000</v>
      </c>
      <c r="H61" s="43">
        <v>11000</v>
      </c>
      <c r="I61" s="43">
        <v>315.7</v>
      </c>
      <c r="J61" s="43">
        <v>0</v>
      </c>
      <c r="K61" s="43">
        <v>334.4</v>
      </c>
      <c r="L61" s="43">
        <v>31.21</v>
      </c>
      <c r="M61" s="44">
        <f t="shared" si="0"/>
        <v>681.31</v>
      </c>
      <c r="N61" s="44">
        <f t="shared" si="1"/>
        <v>10318.69</v>
      </c>
      <c r="O61" s="52" t="s">
        <v>23</v>
      </c>
    </row>
    <row r="62" spans="1:15" s="39" customFormat="1" x14ac:dyDescent="0.25">
      <c r="A62" s="12"/>
      <c r="B62" s="52">
        <f t="shared" si="2"/>
        <v>57</v>
      </c>
      <c r="C62" s="53" t="s">
        <v>104</v>
      </c>
      <c r="D62" s="54" t="s">
        <v>59</v>
      </c>
      <c r="E62" s="53" t="s">
        <v>25</v>
      </c>
      <c r="F62" s="54" t="s">
        <v>62</v>
      </c>
      <c r="G62" s="43">
        <v>15000</v>
      </c>
      <c r="H62" s="43">
        <v>15000</v>
      </c>
      <c r="I62" s="43">
        <v>430.5</v>
      </c>
      <c r="J62" s="43">
        <v>0</v>
      </c>
      <c r="K62" s="43">
        <v>456</v>
      </c>
      <c r="L62" s="43">
        <f>1039.64+29.21+1500+2637.48</f>
        <v>5206.33</v>
      </c>
      <c r="M62" s="44">
        <f t="shared" si="0"/>
        <v>6092.83</v>
      </c>
      <c r="N62" s="44">
        <f t="shared" si="1"/>
        <v>8907.17</v>
      </c>
      <c r="O62" s="52" t="s">
        <v>23</v>
      </c>
    </row>
    <row r="63" spans="1:15" s="39" customFormat="1" x14ac:dyDescent="0.25">
      <c r="A63" s="12"/>
      <c r="B63" s="52">
        <f t="shared" si="2"/>
        <v>58</v>
      </c>
      <c r="C63" s="53" t="s">
        <v>105</v>
      </c>
      <c r="D63" s="54" t="s">
        <v>59</v>
      </c>
      <c r="E63" s="53" t="s">
        <v>25</v>
      </c>
      <c r="F63" s="54" t="s">
        <v>106</v>
      </c>
      <c r="G63" s="43">
        <v>13000</v>
      </c>
      <c r="H63" s="43">
        <v>13000</v>
      </c>
      <c r="I63" s="43">
        <v>373.1</v>
      </c>
      <c r="J63" s="43">
        <v>0</v>
      </c>
      <c r="K63" s="43">
        <v>395.2</v>
      </c>
      <c r="L63" s="43">
        <v>31.21</v>
      </c>
      <c r="M63" s="44">
        <f t="shared" si="0"/>
        <v>799.51</v>
      </c>
      <c r="N63" s="44">
        <f t="shared" si="1"/>
        <v>12200.49</v>
      </c>
      <c r="O63" s="52" t="s">
        <v>19</v>
      </c>
    </row>
    <row r="64" spans="1:15" s="39" customFormat="1" x14ac:dyDescent="0.25">
      <c r="A64" s="12"/>
      <c r="B64" s="52">
        <f t="shared" si="2"/>
        <v>59</v>
      </c>
      <c r="C64" s="53" t="s">
        <v>107</v>
      </c>
      <c r="D64" s="54" t="s">
        <v>59</v>
      </c>
      <c r="E64" s="53" t="s">
        <v>25</v>
      </c>
      <c r="F64" s="54" t="s">
        <v>62</v>
      </c>
      <c r="G64" s="43">
        <v>15000</v>
      </c>
      <c r="H64" s="43">
        <v>15000</v>
      </c>
      <c r="I64" s="43">
        <v>430.5</v>
      </c>
      <c r="J64" s="43">
        <v>0</v>
      </c>
      <c r="K64" s="43">
        <v>456</v>
      </c>
      <c r="L64" s="43">
        <f>1031.21+7031.41</f>
        <v>8062.62</v>
      </c>
      <c r="M64" s="44">
        <f t="shared" si="0"/>
        <v>8949.119999999999</v>
      </c>
      <c r="N64" s="44">
        <f t="shared" si="1"/>
        <v>6050.880000000001</v>
      </c>
      <c r="O64" s="52" t="s">
        <v>23</v>
      </c>
    </row>
    <row r="65" spans="1:15" s="39" customFormat="1" x14ac:dyDescent="0.25">
      <c r="A65" s="12"/>
      <c r="B65" s="52">
        <f t="shared" si="2"/>
        <v>60</v>
      </c>
      <c r="C65" s="53" t="s">
        <v>108</v>
      </c>
      <c r="D65" s="54" t="s">
        <v>59</v>
      </c>
      <c r="E65" s="53" t="s">
        <v>25</v>
      </c>
      <c r="F65" s="54" t="s">
        <v>106</v>
      </c>
      <c r="G65" s="43">
        <v>10000</v>
      </c>
      <c r="H65" s="43">
        <v>10000</v>
      </c>
      <c r="I65" s="43">
        <v>287</v>
      </c>
      <c r="J65" s="43">
        <v>0</v>
      </c>
      <c r="K65" s="43">
        <v>304</v>
      </c>
      <c r="L65" s="43">
        <v>529.21</v>
      </c>
      <c r="M65" s="44">
        <f t="shared" si="0"/>
        <v>1120.21</v>
      </c>
      <c r="N65" s="44">
        <f t="shared" si="1"/>
        <v>8879.7900000000009</v>
      </c>
      <c r="O65" s="52" t="s">
        <v>19</v>
      </c>
    </row>
    <row r="66" spans="1:15" s="39" customFormat="1" x14ac:dyDescent="0.25">
      <c r="A66" s="12"/>
      <c r="B66" s="52">
        <f>B65+1</f>
        <v>61</v>
      </c>
      <c r="C66" s="53" t="s">
        <v>109</v>
      </c>
      <c r="D66" s="54" t="s">
        <v>59</v>
      </c>
      <c r="E66" s="53" t="s">
        <v>25</v>
      </c>
      <c r="F66" s="54" t="s">
        <v>62</v>
      </c>
      <c r="G66" s="43">
        <v>15000</v>
      </c>
      <c r="H66" s="43">
        <v>15000</v>
      </c>
      <c r="I66" s="43">
        <v>430.5</v>
      </c>
      <c r="J66" s="43">
        <v>0</v>
      </c>
      <c r="K66" s="43">
        <v>456</v>
      </c>
      <c r="L66" s="43">
        <f>31.21+500+3515.7+2197.9</f>
        <v>6244.8099999999995</v>
      </c>
      <c r="M66" s="44">
        <f t="shared" si="0"/>
        <v>7131.3099999999995</v>
      </c>
      <c r="N66" s="44">
        <f t="shared" si="1"/>
        <v>7868.6900000000005</v>
      </c>
      <c r="O66" s="52" t="s">
        <v>23</v>
      </c>
    </row>
    <row r="67" spans="1:15" s="39" customFormat="1" x14ac:dyDescent="0.25">
      <c r="A67" s="12"/>
      <c r="B67" s="52">
        <f t="shared" si="2"/>
        <v>62</v>
      </c>
      <c r="C67" s="53" t="s">
        <v>110</v>
      </c>
      <c r="D67" s="54" t="s">
        <v>59</v>
      </c>
      <c r="E67" s="53" t="s">
        <v>25</v>
      </c>
      <c r="F67" s="54" t="s">
        <v>106</v>
      </c>
      <c r="G67" s="43">
        <v>13000</v>
      </c>
      <c r="H67" s="43">
        <v>13000</v>
      </c>
      <c r="I67" s="43">
        <v>373.1</v>
      </c>
      <c r="J67" s="43">
        <v>0</v>
      </c>
      <c r="K67" s="43">
        <v>395.2</v>
      </c>
      <c r="L67" s="43">
        <v>19.509999999999998</v>
      </c>
      <c r="M67" s="44">
        <f t="shared" si="0"/>
        <v>787.81</v>
      </c>
      <c r="N67" s="44">
        <f t="shared" si="1"/>
        <v>12212.19</v>
      </c>
      <c r="O67" s="52" t="s">
        <v>19</v>
      </c>
    </row>
    <row r="68" spans="1:15" s="39" customFormat="1" x14ac:dyDescent="0.25">
      <c r="A68" s="12"/>
      <c r="B68" s="52">
        <f t="shared" si="2"/>
        <v>63</v>
      </c>
      <c r="C68" s="53" t="s">
        <v>111</v>
      </c>
      <c r="D68" s="54" t="s">
        <v>59</v>
      </c>
      <c r="E68" s="53" t="s">
        <v>25</v>
      </c>
      <c r="F68" s="54" t="s">
        <v>106</v>
      </c>
      <c r="G68" s="43">
        <v>10000</v>
      </c>
      <c r="H68" s="43">
        <v>10000</v>
      </c>
      <c r="I68" s="43">
        <v>287</v>
      </c>
      <c r="J68" s="43">
        <v>0</v>
      </c>
      <c r="K68" s="43">
        <v>304</v>
      </c>
      <c r="L68" s="43">
        <v>169.21</v>
      </c>
      <c r="M68" s="44">
        <f t="shared" si="0"/>
        <v>760.21</v>
      </c>
      <c r="N68" s="44">
        <f t="shared" si="1"/>
        <v>9239.7900000000009</v>
      </c>
      <c r="O68" s="52" t="s">
        <v>19</v>
      </c>
    </row>
    <row r="69" spans="1:15" s="39" customFormat="1" x14ac:dyDescent="0.25">
      <c r="A69" s="12"/>
      <c r="B69" s="52">
        <f t="shared" si="2"/>
        <v>64</v>
      </c>
      <c r="C69" s="53" t="s">
        <v>112</v>
      </c>
      <c r="D69" s="54" t="s">
        <v>59</v>
      </c>
      <c r="E69" s="53" t="s">
        <v>25</v>
      </c>
      <c r="F69" s="54" t="s">
        <v>106</v>
      </c>
      <c r="G69" s="43">
        <v>13000</v>
      </c>
      <c r="H69" s="43">
        <v>13000</v>
      </c>
      <c r="I69" s="43">
        <v>373.1</v>
      </c>
      <c r="J69" s="43">
        <v>0</v>
      </c>
      <c r="K69" s="43">
        <v>395.2</v>
      </c>
      <c r="L69" s="43">
        <f>29.21+1000</f>
        <v>1029.21</v>
      </c>
      <c r="M69" s="44">
        <f t="shared" si="0"/>
        <v>1797.51</v>
      </c>
      <c r="N69" s="44">
        <f t="shared" si="1"/>
        <v>11202.49</v>
      </c>
      <c r="O69" s="52" t="s">
        <v>19</v>
      </c>
    </row>
    <row r="70" spans="1:15" s="39" customFormat="1" x14ac:dyDescent="0.25">
      <c r="A70" s="12"/>
      <c r="B70" s="52">
        <f t="shared" si="2"/>
        <v>65</v>
      </c>
      <c r="C70" s="53" t="s">
        <v>113</v>
      </c>
      <c r="D70" s="54" t="s">
        <v>59</v>
      </c>
      <c r="E70" s="53" t="s">
        <v>25</v>
      </c>
      <c r="F70" s="54" t="s">
        <v>106</v>
      </c>
      <c r="G70" s="43">
        <v>10000</v>
      </c>
      <c r="H70" s="43">
        <v>10000</v>
      </c>
      <c r="I70" s="43">
        <v>287</v>
      </c>
      <c r="J70" s="43">
        <v>0</v>
      </c>
      <c r="K70" s="43">
        <v>304</v>
      </c>
      <c r="L70" s="43">
        <v>17.770000000000003</v>
      </c>
      <c r="M70" s="44">
        <f t="shared" si="0"/>
        <v>608.77</v>
      </c>
      <c r="N70" s="44">
        <f t="shared" si="1"/>
        <v>9391.23</v>
      </c>
      <c r="O70" s="52" t="s">
        <v>19</v>
      </c>
    </row>
    <row r="71" spans="1:15" s="39" customFormat="1" x14ac:dyDescent="0.25">
      <c r="A71" s="12"/>
      <c r="B71" s="52">
        <f t="shared" si="2"/>
        <v>66</v>
      </c>
      <c r="C71" s="53" t="s">
        <v>114</v>
      </c>
      <c r="D71" s="54" t="s">
        <v>59</v>
      </c>
      <c r="E71" s="53" t="s">
        <v>25</v>
      </c>
      <c r="F71" s="54" t="s">
        <v>106</v>
      </c>
      <c r="G71" s="43">
        <v>13000</v>
      </c>
      <c r="H71" s="43">
        <v>13000</v>
      </c>
      <c r="I71" s="43">
        <v>373.1</v>
      </c>
      <c r="J71" s="43">
        <v>0</v>
      </c>
      <c r="K71" s="43">
        <v>395.2</v>
      </c>
      <c r="L71" s="43">
        <v>3467</v>
      </c>
      <c r="M71" s="44">
        <f t="shared" si="0"/>
        <v>4235.3</v>
      </c>
      <c r="N71" s="44">
        <f t="shared" si="1"/>
        <v>8764.7000000000007</v>
      </c>
      <c r="O71" s="52" t="s">
        <v>19</v>
      </c>
    </row>
    <row r="72" spans="1:15" s="39" customFormat="1" x14ac:dyDescent="0.25">
      <c r="A72" s="12"/>
      <c r="B72" s="52">
        <f t="shared" si="2"/>
        <v>67</v>
      </c>
      <c r="C72" s="53" t="s">
        <v>115</v>
      </c>
      <c r="D72" s="54" t="s">
        <v>59</v>
      </c>
      <c r="E72" s="53" t="s">
        <v>25</v>
      </c>
      <c r="F72" s="54" t="s">
        <v>62</v>
      </c>
      <c r="G72" s="43">
        <v>15000</v>
      </c>
      <c r="H72" s="43">
        <v>15000</v>
      </c>
      <c r="I72" s="43">
        <v>430.5</v>
      </c>
      <c r="J72" s="43">
        <v>0</v>
      </c>
      <c r="K72" s="43">
        <v>456</v>
      </c>
      <c r="L72" s="43">
        <f>31.21+1500</f>
        <v>1531.21</v>
      </c>
      <c r="M72" s="44">
        <f t="shared" si="0"/>
        <v>2417.71</v>
      </c>
      <c r="N72" s="44">
        <f t="shared" si="1"/>
        <v>12582.29</v>
      </c>
      <c r="O72" s="52" t="s">
        <v>23</v>
      </c>
    </row>
    <row r="73" spans="1:15" s="39" customFormat="1" x14ac:dyDescent="0.25">
      <c r="A73" s="12"/>
      <c r="B73" s="52">
        <f t="shared" ref="B73:B136" si="3">+B72+1</f>
        <v>68</v>
      </c>
      <c r="C73" s="53" t="s">
        <v>116</v>
      </c>
      <c r="D73" s="54" t="s">
        <v>59</v>
      </c>
      <c r="E73" s="53" t="s">
        <v>25</v>
      </c>
      <c r="F73" s="54" t="s">
        <v>106</v>
      </c>
      <c r="G73" s="43">
        <v>10000</v>
      </c>
      <c r="H73" s="43">
        <v>10000</v>
      </c>
      <c r="I73" s="43">
        <v>287</v>
      </c>
      <c r="J73" s="43">
        <v>0</v>
      </c>
      <c r="K73" s="43">
        <v>304</v>
      </c>
      <c r="L73" s="43">
        <v>0</v>
      </c>
      <c r="M73" s="44">
        <f t="shared" si="0"/>
        <v>591</v>
      </c>
      <c r="N73" s="44">
        <f t="shared" si="1"/>
        <v>9409</v>
      </c>
      <c r="O73" s="52" t="s">
        <v>19</v>
      </c>
    </row>
    <row r="74" spans="1:15" s="39" customFormat="1" x14ac:dyDescent="0.25">
      <c r="A74" s="12"/>
      <c r="B74" s="52">
        <f t="shared" si="3"/>
        <v>69</v>
      </c>
      <c r="C74" s="53" t="s">
        <v>117</v>
      </c>
      <c r="D74" s="54" t="s">
        <v>59</v>
      </c>
      <c r="E74" s="53" t="s">
        <v>25</v>
      </c>
      <c r="F74" s="54" t="s">
        <v>106</v>
      </c>
      <c r="G74" s="43">
        <v>13000</v>
      </c>
      <c r="H74" s="43">
        <v>13000</v>
      </c>
      <c r="I74" s="43">
        <v>373.1</v>
      </c>
      <c r="J74" s="43">
        <v>0</v>
      </c>
      <c r="K74" s="43">
        <v>395.2</v>
      </c>
      <c r="L74" s="43">
        <v>31.21</v>
      </c>
      <c r="M74" s="44">
        <f t="shared" ref="M74:M131" si="4">SUM(I74:L74)</f>
        <v>799.51</v>
      </c>
      <c r="N74" s="44">
        <f t="shared" ref="N74:N131" si="5">G74-M74</f>
        <v>12200.49</v>
      </c>
      <c r="O74" s="52" t="s">
        <v>19</v>
      </c>
    </row>
    <row r="75" spans="1:15" s="39" customFormat="1" x14ac:dyDescent="0.25">
      <c r="A75" s="12"/>
      <c r="B75" s="52">
        <f t="shared" si="3"/>
        <v>70</v>
      </c>
      <c r="C75" s="53" t="s">
        <v>118</v>
      </c>
      <c r="D75" s="54" t="s">
        <v>59</v>
      </c>
      <c r="E75" s="53" t="s">
        <v>25</v>
      </c>
      <c r="F75" s="54" t="s">
        <v>62</v>
      </c>
      <c r="G75" s="43">
        <v>15000</v>
      </c>
      <c r="H75" s="43">
        <v>15000</v>
      </c>
      <c r="I75" s="43">
        <v>430.5</v>
      </c>
      <c r="J75" s="43">
        <v>0</v>
      </c>
      <c r="K75" s="43">
        <v>456</v>
      </c>
      <c r="L75" s="43">
        <v>2031.21</v>
      </c>
      <c r="M75" s="44">
        <f t="shared" si="4"/>
        <v>2917.71</v>
      </c>
      <c r="N75" s="44">
        <f t="shared" si="5"/>
        <v>12082.29</v>
      </c>
      <c r="O75" s="52" t="s">
        <v>23</v>
      </c>
    </row>
    <row r="76" spans="1:15" s="39" customFormat="1" ht="20.25" customHeight="1" x14ac:dyDescent="0.25">
      <c r="A76" s="12"/>
      <c r="B76" s="52">
        <f t="shared" si="3"/>
        <v>71</v>
      </c>
      <c r="C76" s="53" t="s">
        <v>119</v>
      </c>
      <c r="D76" s="54" t="s">
        <v>59</v>
      </c>
      <c r="E76" s="53" t="s">
        <v>25</v>
      </c>
      <c r="F76" s="54" t="s">
        <v>106</v>
      </c>
      <c r="G76" s="43">
        <v>10000</v>
      </c>
      <c r="H76" s="43">
        <v>10000</v>
      </c>
      <c r="I76" s="43">
        <v>287</v>
      </c>
      <c r="J76" s="43">
        <v>0</v>
      </c>
      <c r="K76" s="43">
        <v>304</v>
      </c>
      <c r="L76" s="43">
        <v>27.21</v>
      </c>
      <c r="M76" s="44">
        <f t="shared" si="4"/>
        <v>618.21</v>
      </c>
      <c r="N76" s="44">
        <f t="shared" si="5"/>
        <v>9381.7900000000009</v>
      </c>
      <c r="O76" s="52" t="s">
        <v>19</v>
      </c>
    </row>
    <row r="77" spans="1:15" s="39" customFormat="1" x14ac:dyDescent="0.25">
      <c r="A77" s="12"/>
      <c r="B77" s="52">
        <f t="shared" si="3"/>
        <v>72</v>
      </c>
      <c r="C77" s="53" t="s">
        <v>120</v>
      </c>
      <c r="D77" s="54" t="s">
        <v>59</v>
      </c>
      <c r="E77" s="53" t="s">
        <v>25</v>
      </c>
      <c r="F77" s="54" t="s">
        <v>106</v>
      </c>
      <c r="G77" s="43">
        <v>10000</v>
      </c>
      <c r="H77" s="43">
        <v>10000</v>
      </c>
      <c r="I77" s="43">
        <v>287</v>
      </c>
      <c r="J77" s="43">
        <v>0</v>
      </c>
      <c r="K77" s="43">
        <v>304</v>
      </c>
      <c r="L77" s="43">
        <v>19.509999999999998</v>
      </c>
      <c r="M77" s="44">
        <f t="shared" si="4"/>
        <v>610.51</v>
      </c>
      <c r="N77" s="44">
        <f t="shared" si="5"/>
        <v>9389.49</v>
      </c>
      <c r="O77" s="52" t="s">
        <v>19</v>
      </c>
    </row>
    <row r="78" spans="1:15" s="39" customFormat="1" x14ac:dyDescent="0.25">
      <c r="A78" s="12"/>
      <c r="B78" s="52">
        <f t="shared" si="3"/>
        <v>73</v>
      </c>
      <c r="C78" s="53" t="s">
        <v>121</v>
      </c>
      <c r="D78" s="54" t="s">
        <v>59</v>
      </c>
      <c r="E78" s="53" t="s">
        <v>25</v>
      </c>
      <c r="F78" s="54" t="s">
        <v>106</v>
      </c>
      <c r="G78" s="43">
        <v>10000</v>
      </c>
      <c r="H78" s="43">
        <v>10000</v>
      </c>
      <c r="I78" s="43">
        <v>287</v>
      </c>
      <c r="J78" s="43">
        <v>0</v>
      </c>
      <c r="K78" s="43">
        <v>304</v>
      </c>
      <c r="L78" s="43">
        <v>27.21</v>
      </c>
      <c r="M78" s="44">
        <f t="shared" si="4"/>
        <v>618.21</v>
      </c>
      <c r="N78" s="44">
        <f t="shared" si="5"/>
        <v>9381.7900000000009</v>
      </c>
      <c r="O78" s="52" t="s">
        <v>19</v>
      </c>
    </row>
    <row r="79" spans="1:15" s="39" customFormat="1" x14ac:dyDescent="0.25">
      <c r="A79" s="12"/>
      <c r="B79" s="52">
        <f t="shared" si="3"/>
        <v>74</v>
      </c>
      <c r="C79" s="53" t="s">
        <v>123</v>
      </c>
      <c r="D79" s="54" t="s">
        <v>59</v>
      </c>
      <c r="E79" s="53" t="s">
        <v>25</v>
      </c>
      <c r="F79" s="54" t="s">
        <v>106</v>
      </c>
      <c r="G79" s="43">
        <v>10000</v>
      </c>
      <c r="H79" s="43">
        <v>10000</v>
      </c>
      <c r="I79" s="43">
        <v>287</v>
      </c>
      <c r="J79" s="43">
        <v>0</v>
      </c>
      <c r="K79" s="43">
        <v>304</v>
      </c>
      <c r="L79" s="43">
        <v>0</v>
      </c>
      <c r="M79" s="44">
        <f t="shared" si="4"/>
        <v>591</v>
      </c>
      <c r="N79" s="44">
        <f t="shared" si="5"/>
        <v>9409</v>
      </c>
      <c r="O79" s="52" t="s">
        <v>19</v>
      </c>
    </row>
    <row r="80" spans="1:15" s="39" customFormat="1" x14ac:dyDescent="0.25">
      <c r="A80" s="12"/>
      <c r="B80" s="52">
        <f t="shared" si="3"/>
        <v>75</v>
      </c>
      <c r="C80" s="53" t="s">
        <v>124</v>
      </c>
      <c r="D80" s="54" t="s">
        <v>59</v>
      </c>
      <c r="E80" s="53" t="s">
        <v>25</v>
      </c>
      <c r="F80" s="54" t="s">
        <v>62</v>
      </c>
      <c r="G80" s="43">
        <v>10000</v>
      </c>
      <c r="H80" s="43">
        <v>10000</v>
      </c>
      <c r="I80" s="43">
        <v>287</v>
      </c>
      <c r="J80" s="43">
        <v>0</v>
      </c>
      <c r="K80" s="43">
        <v>304</v>
      </c>
      <c r="L80" s="43">
        <f>1039.64+29.21</f>
        <v>1068.8500000000001</v>
      </c>
      <c r="M80" s="44">
        <f t="shared" si="4"/>
        <v>1659.8500000000001</v>
      </c>
      <c r="N80" s="44">
        <f t="shared" si="5"/>
        <v>8340.15</v>
      </c>
      <c r="O80" s="52" t="s">
        <v>19</v>
      </c>
    </row>
    <row r="81" spans="1:15" s="39" customFormat="1" ht="21.75" customHeight="1" x14ac:dyDescent="0.25">
      <c r="A81" s="12"/>
      <c r="B81" s="52">
        <f t="shared" si="3"/>
        <v>76</v>
      </c>
      <c r="C81" s="53" t="s">
        <v>125</v>
      </c>
      <c r="D81" s="54" t="s">
        <v>59</v>
      </c>
      <c r="E81" s="53" t="s">
        <v>21</v>
      </c>
      <c r="F81" s="54" t="s">
        <v>126</v>
      </c>
      <c r="G81" s="43">
        <v>28350</v>
      </c>
      <c r="H81" s="43">
        <v>28350</v>
      </c>
      <c r="I81" s="43">
        <v>813.65</v>
      </c>
      <c r="J81" s="43">
        <v>0</v>
      </c>
      <c r="K81" s="43">
        <v>861.84</v>
      </c>
      <c r="L81" s="43">
        <v>7394.78</v>
      </c>
      <c r="M81" s="44">
        <f t="shared" si="4"/>
        <v>9070.27</v>
      </c>
      <c r="N81" s="44">
        <f t="shared" si="5"/>
        <v>19279.73</v>
      </c>
      <c r="O81" s="52" t="s">
        <v>23</v>
      </c>
    </row>
    <row r="82" spans="1:15" s="39" customFormat="1" x14ac:dyDescent="0.25">
      <c r="A82" s="12"/>
      <c r="B82" s="52">
        <f t="shared" si="3"/>
        <v>77</v>
      </c>
      <c r="C82" s="53" t="s">
        <v>127</v>
      </c>
      <c r="D82" s="54" t="s">
        <v>59</v>
      </c>
      <c r="E82" s="53" t="s">
        <v>25</v>
      </c>
      <c r="F82" s="54" t="s">
        <v>106</v>
      </c>
      <c r="G82" s="43">
        <v>10000</v>
      </c>
      <c r="H82" s="43">
        <v>10000</v>
      </c>
      <c r="I82" s="43">
        <v>287</v>
      </c>
      <c r="J82" s="43">
        <v>0</v>
      </c>
      <c r="K82" s="43">
        <v>304</v>
      </c>
      <c r="L82" s="43">
        <v>0</v>
      </c>
      <c r="M82" s="44">
        <f t="shared" si="4"/>
        <v>591</v>
      </c>
      <c r="N82" s="44">
        <f t="shared" si="5"/>
        <v>9409</v>
      </c>
      <c r="O82" s="52" t="s">
        <v>19</v>
      </c>
    </row>
    <row r="83" spans="1:15" s="39" customFormat="1" ht="18" customHeight="1" x14ac:dyDescent="0.25">
      <c r="A83" s="12"/>
      <c r="B83" s="52">
        <f t="shared" si="3"/>
        <v>78</v>
      </c>
      <c r="C83" s="53" t="s">
        <v>128</v>
      </c>
      <c r="D83" s="54" t="s">
        <v>59</v>
      </c>
      <c r="E83" s="53" t="s">
        <v>25</v>
      </c>
      <c r="F83" s="54" t="s">
        <v>62</v>
      </c>
      <c r="G83" s="43">
        <v>15000</v>
      </c>
      <c r="H83" s="43">
        <v>15000</v>
      </c>
      <c r="I83" s="43">
        <v>430.5</v>
      </c>
      <c r="J83" s="43">
        <v>0</v>
      </c>
      <c r="K83" s="43">
        <v>456</v>
      </c>
      <c r="L83" s="43">
        <v>4546.91</v>
      </c>
      <c r="M83" s="44">
        <f t="shared" si="4"/>
        <v>5433.41</v>
      </c>
      <c r="N83" s="44">
        <f t="shared" si="5"/>
        <v>9566.59</v>
      </c>
      <c r="O83" s="52" t="s">
        <v>23</v>
      </c>
    </row>
    <row r="84" spans="1:15" s="39" customFormat="1" ht="18.75" customHeight="1" x14ac:dyDescent="0.25">
      <c r="A84" s="12"/>
      <c r="B84" s="52">
        <f t="shared" si="3"/>
        <v>79</v>
      </c>
      <c r="C84" s="53" t="s">
        <v>129</v>
      </c>
      <c r="D84" s="54" t="s">
        <v>59</v>
      </c>
      <c r="E84" s="53" t="s">
        <v>25</v>
      </c>
      <c r="F84" s="54" t="s">
        <v>106</v>
      </c>
      <c r="G84" s="43">
        <v>13000</v>
      </c>
      <c r="H84" s="43">
        <v>13000</v>
      </c>
      <c r="I84" s="43">
        <v>373.1</v>
      </c>
      <c r="J84" s="43">
        <v>0</v>
      </c>
      <c r="K84" s="43">
        <v>395.2</v>
      </c>
      <c r="L84" s="43">
        <v>1746.67</v>
      </c>
      <c r="M84" s="44">
        <f t="shared" si="4"/>
        <v>2514.9700000000003</v>
      </c>
      <c r="N84" s="44">
        <f t="shared" si="5"/>
        <v>10485.029999999999</v>
      </c>
      <c r="O84" s="52" t="s">
        <v>19</v>
      </c>
    </row>
    <row r="85" spans="1:15" s="39" customFormat="1" x14ac:dyDescent="0.25">
      <c r="A85" s="12"/>
      <c r="B85" s="60">
        <f t="shared" si="3"/>
        <v>80</v>
      </c>
      <c r="C85" s="61" t="s">
        <v>130</v>
      </c>
      <c r="D85" s="62" t="s">
        <v>59</v>
      </c>
      <c r="E85" s="61" t="s">
        <v>25</v>
      </c>
      <c r="F85" s="62" t="s">
        <v>122</v>
      </c>
      <c r="G85" s="63">
        <v>38967</v>
      </c>
      <c r="H85" s="63">
        <v>38967</v>
      </c>
      <c r="I85" s="63">
        <v>1118.3499999999999</v>
      </c>
      <c r="J85" s="63">
        <v>296.86</v>
      </c>
      <c r="K85" s="63">
        <v>1184.5999999999999</v>
      </c>
      <c r="L85" s="63">
        <v>9567.75</v>
      </c>
      <c r="M85" s="64">
        <f t="shared" si="4"/>
        <v>12167.56</v>
      </c>
      <c r="N85" s="64">
        <f t="shared" si="5"/>
        <v>26799.440000000002</v>
      </c>
      <c r="O85" s="60" t="s">
        <v>19</v>
      </c>
    </row>
    <row r="86" spans="1:15" s="39" customFormat="1" ht="19.5" customHeight="1" x14ac:dyDescent="0.25">
      <c r="A86" s="12"/>
      <c r="B86" s="52">
        <f>+B85+1</f>
        <v>81</v>
      </c>
      <c r="C86" s="53" t="s">
        <v>131</v>
      </c>
      <c r="D86" s="54" t="s">
        <v>59</v>
      </c>
      <c r="E86" s="53" t="s">
        <v>21</v>
      </c>
      <c r="F86" s="54" t="s">
        <v>28</v>
      </c>
      <c r="G86" s="43">
        <v>20000</v>
      </c>
      <c r="H86" s="43">
        <v>20000</v>
      </c>
      <c r="I86" s="43">
        <v>574</v>
      </c>
      <c r="J86" s="43">
        <v>0</v>
      </c>
      <c r="K86" s="43">
        <v>608</v>
      </c>
      <c r="L86" s="43">
        <v>31.21</v>
      </c>
      <c r="M86" s="44">
        <f t="shared" si="4"/>
        <v>1213.21</v>
      </c>
      <c r="N86" s="44">
        <f t="shared" si="5"/>
        <v>18786.79</v>
      </c>
      <c r="O86" s="52" t="s">
        <v>23</v>
      </c>
    </row>
    <row r="87" spans="1:15" s="39" customFormat="1" ht="18.75" customHeight="1" x14ac:dyDescent="0.25">
      <c r="A87" s="12"/>
      <c r="B87" s="52">
        <f t="shared" si="3"/>
        <v>82</v>
      </c>
      <c r="C87" s="53" t="s">
        <v>132</v>
      </c>
      <c r="D87" s="54" t="s">
        <v>59</v>
      </c>
      <c r="E87" s="53" t="s">
        <v>25</v>
      </c>
      <c r="F87" s="54" t="s">
        <v>106</v>
      </c>
      <c r="G87" s="43">
        <v>13000</v>
      </c>
      <c r="H87" s="43">
        <v>13000</v>
      </c>
      <c r="I87" s="43">
        <v>373.1</v>
      </c>
      <c r="J87" s="43">
        <v>0</v>
      </c>
      <c r="K87" s="43">
        <v>395.2</v>
      </c>
      <c r="L87" s="43">
        <v>27.21</v>
      </c>
      <c r="M87" s="44">
        <f t="shared" si="4"/>
        <v>795.51</v>
      </c>
      <c r="N87" s="44">
        <f t="shared" si="5"/>
        <v>12204.49</v>
      </c>
      <c r="O87" s="52" t="s">
        <v>19</v>
      </c>
    </row>
    <row r="88" spans="1:15" s="39" customFormat="1" ht="16.5" customHeight="1" x14ac:dyDescent="0.25">
      <c r="A88" s="12"/>
      <c r="B88" s="52">
        <f t="shared" si="3"/>
        <v>83</v>
      </c>
      <c r="C88" s="53" t="s">
        <v>133</v>
      </c>
      <c r="D88" s="54" t="s">
        <v>59</v>
      </c>
      <c r="E88" s="53" t="s">
        <v>25</v>
      </c>
      <c r="F88" s="54" t="s">
        <v>66</v>
      </c>
      <c r="G88" s="43">
        <v>18000</v>
      </c>
      <c r="H88" s="43">
        <v>18000</v>
      </c>
      <c r="I88" s="43">
        <v>516.6</v>
      </c>
      <c r="J88" s="43">
        <v>0</v>
      </c>
      <c r="K88" s="43">
        <v>547.20000000000005</v>
      </c>
      <c r="L88" s="43">
        <v>1531.21</v>
      </c>
      <c r="M88" s="44">
        <f t="shared" si="4"/>
        <v>2595.0100000000002</v>
      </c>
      <c r="N88" s="44">
        <f t="shared" si="5"/>
        <v>15404.99</v>
      </c>
      <c r="O88" s="52" t="s">
        <v>19</v>
      </c>
    </row>
    <row r="89" spans="1:15" s="39" customFormat="1" x14ac:dyDescent="0.25">
      <c r="A89" s="12"/>
      <c r="B89" s="52">
        <f t="shared" si="3"/>
        <v>84</v>
      </c>
      <c r="C89" s="53" t="s">
        <v>134</v>
      </c>
      <c r="D89" s="54" t="s">
        <v>59</v>
      </c>
      <c r="E89" s="53" t="s">
        <v>21</v>
      </c>
      <c r="F89" s="54" t="s">
        <v>28</v>
      </c>
      <c r="G89" s="43">
        <v>21000</v>
      </c>
      <c r="H89" s="43">
        <v>21000</v>
      </c>
      <c r="I89" s="43">
        <v>602.70000000000005</v>
      </c>
      <c r="J89" s="43">
        <v>0</v>
      </c>
      <c r="K89" s="43">
        <v>638.4</v>
      </c>
      <c r="L89" s="43">
        <v>2246.67</v>
      </c>
      <c r="M89" s="44">
        <f t="shared" si="4"/>
        <v>3487.77</v>
      </c>
      <c r="N89" s="44">
        <f t="shared" si="5"/>
        <v>17512.23</v>
      </c>
      <c r="O89" s="52" t="s">
        <v>23</v>
      </c>
    </row>
    <row r="90" spans="1:15" s="39" customFormat="1" x14ac:dyDescent="0.25">
      <c r="A90" s="12"/>
      <c r="B90" s="52">
        <f t="shared" si="3"/>
        <v>85</v>
      </c>
      <c r="C90" s="53" t="s">
        <v>135</v>
      </c>
      <c r="D90" s="54" t="s">
        <v>59</v>
      </c>
      <c r="E90" s="53" t="s">
        <v>25</v>
      </c>
      <c r="F90" s="54" t="s">
        <v>106</v>
      </c>
      <c r="G90" s="43">
        <v>10000</v>
      </c>
      <c r="H90" s="43">
        <v>10000</v>
      </c>
      <c r="I90" s="43">
        <v>287</v>
      </c>
      <c r="J90" s="43">
        <v>0</v>
      </c>
      <c r="K90" s="43">
        <v>304</v>
      </c>
      <c r="L90" s="43">
        <v>31.21</v>
      </c>
      <c r="M90" s="44">
        <f t="shared" si="4"/>
        <v>622.21</v>
      </c>
      <c r="N90" s="44">
        <f t="shared" si="5"/>
        <v>9377.7900000000009</v>
      </c>
      <c r="O90" s="52" t="s">
        <v>19</v>
      </c>
    </row>
    <row r="91" spans="1:15" s="39" customFormat="1" x14ac:dyDescent="0.25">
      <c r="A91" s="12"/>
      <c r="B91" s="52">
        <f t="shared" si="3"/>
        <v>86</v>
      </c>
      <c r="C91" s="53" t="s">
        <v>136</v>
      </c>
      <c r="D91" s="54" t="s">
        <v>59</v>
      </c>
      <c r="E91" s="53" t="s">
        <v>25</v>
      </c>
      <c r="F91" s="54" t="s">
        <v>106</v>
      </c>
      <c r="G91" s="43">
        <v>13000</v>
      </c>
      <c r="H91" s="43">
        <v>13000</v>
      </c>
      <c r="I91" s="43">
        <v>373.1</v>
      </c>
      <c r="J91" s="43">
        <v>0</v>
      </c>
      <c r="K91" s="43">
        <v>395.2</v>
      </c>
      <c r="L91" s="43">
        <v>31.21</v>
      </c>
      <c r="M91" s="44">
        <f t="shared" si="4"/>
        <v>799.51</v>
      </c>
      <c r="N91" s="44">
        <f t="shared" si="5"/>
        <v>12200.49</v>
      </c>
      <c r="O91" s="52" t="s">
        <v>19</v>
      </c>
    </row>
    <row r="92" spans="1:15" s="39" customFormat="1" x14ac:dyDescent="0.25">
      <c r="A92" s="12"/>
      <c r="B92" s="52">
        <f t="shared" si="3"/>
        <v>87</v>
      </c>
      <c r="C92" s="53" t="s">
        <v>137</v>
      </c>
      <c r="D92" s="54" t="s">
        <v>59</v>
      </c>
      <c r="E92" s="53" t="s">
        <v>25</v>
      </c>
      <c r="F92" s="54" t="s">
        <v>106</v>
      </c>
      <c r="G92" s="43">
        <v>10000</v>
      </c>
      <c r="H92" s="43">
        <v>10000</v>
      </c>
      <c r="I92" s="43">
        <v>287</v>
      </c>
      <c r="J92" s="43">
        <v>0</v>
      </c>
      <c r="K92" s="43">
        <v>304</v>
      </c>
      <c r="L92" s="43">
        <v>27.21</v>
      </c>
      <c r="M92" s="44">
        <f t="shared" si="4"/>
        <v>618.21</v>
      </c>
      <c r="N92" s="44">
        <f t="shared" si="5"/>
        <v>9381.7900000000009</v>
      </c>
      <c r="O92" s="52" t="s">
        <v>19</v>
      </c>
    </row>
    <row r="93" spans="1:15" s="39" customFormat="1" x14ac:dyDescent="0.25">
      <c r="A93" s="12"/>
      <c r="B93" s="60">
        <f t="shared" si="3"/>
        <v>88</v>
      </c>
      <c r="C93" s="61" t="s">
        <v>138</v>
      </c>
      <c r="D93" s="62" t="s">
        <v>59</v>
      </c>
      <c r="E93" s="61" t="s">
        <v>25</v>
      </c>
      <c r="F93" s="62" t="s">
        <v>106</v>
      </c>
      <c r="G93" s="63">
        <v>13000</v>
      </c>
      <c r="H93" s="63">
        <v>13000</v>
      </c>
      <c r="I93" s="63">
        <v>373.1</v>
      </c>
      <c r="J93" s="63">
        <v>0</v>
      </c>
      <c r="K93" s="63">
        <v>395.2</v>
      </c>
      <c r="L93" s="63">
        <v>0</v>
      </c>
      <c r="M93" s="64">
        <f t="shared" si="4"/>
        <v>768.3</v>
      </c>
      <c r="N93" s="64">
        <f t="shared" si="5"/>
        <v>12231.7</v>
      </c>
      <c r="O93" s="60" t="s">
        <v>19</v>
      </c>
    </row>
    <row r="94" spans="1:15" s="39" customFormat="1" x14ac:dyDescent="0.25">
      <c r="A94" s="12"/>
      <c r="B94" s="52">
        <f t="shared" si="3"/>
        <v>89</v>
      </c>
      <c r="C94" s="53" t="s">
        <v>139</v>
      </c>
      <c r="D94" s="54" t="s">
        <v>59</v>
      </c>
      <c r="E94" s="53" t="s">
        <v>21</v>
      </c>
      <c r="F94" s="54" t="s">
        <v>140</v>
      </c>
      <c r="G94" s="43">
        <v>24281.25</v>
      </c>
      <c r="H94" s="43">
        <v>24281.25</v>
      </c>
      <c r="I94" s="43">
        <v>696.87</v>
      </c>
      <c r="J94" s="43">
        <v>0</v>
      </c>
      <c r="K94" s="43">
        <v>738.15</v>
      </c>
      <c r="L94" s="43">
        <f>1663.42+31.21+1715.46</f>
        <v>3410.09</v>
      </c>
      <c r="M94" s="44">
        <f>+L94+K94+J94+I94</f>
        <v>4845.1099999999997</v>
      </c>
      <c r="N94" s="44">
        <f>+G94-M94</f>
        <v>19436.14</v>
      </c>
      <c r="O94" s="52" t="s">
        <v>23</v>
      </c>
    </row>
    <row r="95" spans="1:15" s="39" customFormat="1" x14ac:dyDescent="0.25">
      <c r="A95" s="12"/>
      <c r="B95" s="52">
        <f t="shared" si="3"/>
        <v>90</v>
      </c>
      <c r="C95" s="53" t="s">
        <v>141</v>
      </c>
      <c r="D95" s="54" t="s">
        <v>59</v>
      </c>
      <c r="E95" s="53" t="s">
        <v>25</v>
      </c>
      <c r="F95" s="54" t="s">
        <v>106</v>
      </c>
      <c r="G95" s="43">
        <v>13000</v>
      </c>
      <c r="H95" s="43">
        <v>13000</v>
      </c>
      <c r="I95" s="43">
        <v>373.1</v>
      </c>
      <c r="J95" s="43">
        <v>0</v>
      </c>
      <c r="K95" s="43">
        <v>395.2</v>
      </c>
      <c r="L95" s="43">
        <v>31.21</v>
      </c>
      <c r="M95" s="44">
        <f t="shared" si="4"/>
        <v>799.51</v>
      </c>
      <c r="N95" s="44">
        <f t="shared" si="5"/>
        <v>12200.49</v>
      </c>
      <c r="O95" s="52" t="s">
        <v>19</v>
      </c>
    </row>
    <row r="96" spans="1:15" s="39" customFormat="1" x14ac:dyDescent="0.25">
      <c r="A96" s="12"/>
      <c r="B96" s="52">
        <f t="shared" si="3"/>
        <v>91</v>
      </c>
      <c r="C96" s="53" t="s">
        <v>142</v>
      </c>
      <c r="D96" s="54" t="s">
        <v>59</v>
      </c>
      <c r="E96" s="53" t="s">
        <v>25</v>
      </c>
      <c r="F96" s="54" t="s">
        <v>106</v>
      </c>
      <c r="G96" s="43">
        <v>13000</v>
      </c>
      <c r="H96" s="43">
        <v>13000</v>
      </c>
      <c r="I96" s="43">
        <v>373.1</v>
      </c>
      <c r="J96" s="43">
        <v>0</v>
      </c>
      <c r="K96" s="43">
        <v>395.2</v>
      </c>
      <c r="L96" s="43">
        <v>31.21</v>
      </c>
      <c r="M96" s="44">
        <f t="shared" si="4"/>
        <v>799.51</v>
      </c>
      <c r="N96" s="44">
        <f t="shared" si="5"/>
        <v>12200.49</v>
      </c>
      <c r="O96" s="52" t="s">
        <v>19</v>
      </c>
    </row>
    <row r="97" spans="1:15" s="39" customFormat="1" x14ac:dyDescent="0.25">
      <c r="A97" s="12"/>
      <c r="B97" s="60">
        <f t="shared" si="3"/>
        <v>92</v>
      </c>
      <c r="C97" s="61" t="s">
        <v>143</v>
      </c>
      <c r="D97" s="62" t="s">
        <v>59</v>
      </c>
      <c r="E97" s="61" t="s">
        <v>21</v>
      </c>
      <c r="F97" s="62" t="s">
        <v>140</v>
      </c>
      <c r="G97" s="63">
        <v>28000</v>
      </c>
      <c r="H97" s="63">
        <v>28000</v>
      </c>
      <c r="I97" s="63">
        <v>803.6</v>
      </c>
      <c r="J97" s="63">
        <v>0</v>
      </c>
      <c r="K97" s="63">
        <v>851.2</v>
      </c>
      <c r="L97" s="63">
        <v>15836.83</v>
      </c>
      <c r="M97" s="64">
        <f t="shared" si="4"/>
        <v>17491.63</v>
      </c>
      <c r="N97" s="64">
        <f t="shared" si="5"/>
        <v>10508.369999999999</v>
      </c>
      <c r="O97" s="60" t="s">
        <v>23</v>
      </c>
    </row>
    <row r="98" spans="1:15" s="39" customFormat="1" x14ac:dyDescent="0.25">
      <c r="A98" s="12"/>
      <c r="B98" s="52">
        <f t="shared" si="3"/>
        <v>93</v>
      </c>
      <c r="C98" s="53" t="s">
        <v>144</v>
      </c>
      <c r="D98" s="54" t="s">
        <v>59</v>
      </c>
      <c r="E98" s="53" t="s">
        <v>25</v>
      </c>
      <c r="F98" s="54" t="s">
        <v>106</v>
      </c>
      <c r="G98" s="43">
        <v>13000</v>
      </c>
      <c r="H98" s="43">
        <v>13000</v>
      </c>
      <c r="I98" s="43">
        <v>373.1</v>
      </c>
      <c r="J98" s="43">
        <v>0</v>
      </c>
      <c r="K98" s="43">
        <v>395.2</v>
      </c>
      <c r="L98" s="43">
        <v>31.21</v>
      </c>
      <c r="M98" s="44">
        <f t="shared" si="4"/>
        <v>799.51</v>
      </c>
      <c r="N98" s="44">
        <f t="shared" si="5"/>
        <v>12200.49</v>
      </c>
      <c r="O98" s="52" t="s">
        <v>19</v>
      </c>
    </row>
    <row r="99" spans="1:15" s="39" customFormat="1" x14ac:dyDescent="0.25">
      <c r="A99" s="12"/>
      <c r="B99" s="60">
        <f t="shared" si="3"/>
        <v>94</v>
      </c>
      <c r="C99" s="61" t="s">
        <v>145</v>
      </c>
      <c r="D99" s="62" t="s">
        <v>59</v>
      </c>
      <c r="E99" s="61" t="s">
        <v>25</v>
      </c>
      <c r="F99" s="62" t="s">
        <v>146</v>
      </c>
      <c r="G99" s="63">
        <v>12100</v>
      </c>
      <c r="H99" s="63">
        <v>12100</v>
      </c>
      <c r="I99" s="63">
        <v>347.27</v>
      </c>
      <c r="J99" s="63">
        <v>0</v>
      </c>
      <c r="K99" s="63">
        <v>367.84</v>
      </c>
      <c r="L99" s="63">
        <v>6177.72</v>
      </c>
      <c r="M99" s="64">
        <f>+L99+K99+J99+I99</f>
        <v>6892.83</v>
      </c>
      <c r="N99" s="64">
        <f>+G99-M99</f>
        <v>5207.17</v>
      </c>
      <c r="O99" s="60" t="s">
        <v>19</v>
      </c>
    </row>
    <row r="100" spans="1:15" s="39" customFormat="1" ht="19.5" customHeight="1" x14ac:dyDescent="0.25">
      <c r="A100" s="12"/>
      <c r="B100" s="52">
        <f t="shared" si="3"/>
        <v>95</v>
      </c>
      <c r="C100" s="53" t="s">
        <v>147</v>
      </c>
      <c r="D100" s="54" t="s">
        <v>59</v>
      </c>
      <c r="E100" s="53" t="s">
        <v>25</v>
      </c>
      <c r="F100" s="54" t="s">
        <v>106</v>
      </c>
      <c r="G100" s="43">
        <v>13000</v>
      </c>
      <c r="H100" s="43">
        <v>13000</v>
      </c>
      <c r="I100" s="43">
        <v>373.1</v>
      </c>
      <c r="J100" s="43">
        <v>0</v>
      </c>
      <c r="K100" s="43">
        <v>395.2</v>
      </c>
      <c r="L100" s="43">
        <v>31.21</v>
      </c>
      <c r="M100" s="44">
        <f t="shared" si="4"/>
        <v>799.51</v>
      </c>
      <c r="N100" s="44">
        <f t="shared" si="5"/>
        <v>12200.49</v>
      </c>
      <c r="O100" s="52" t="s">
        <v>19</v>
      </c>
    </row>
    <row r="101" spans="1:15" s="39" customFormat="1" x14ac:dyDescent="0.25">
      <c r="A101" s="12"/>
      <c r="B101" s="52">
        <f t="shared" si="3"/>
        <v>96</v>
      </c>
      <c r="C101" s="53" t="s">
        <v>148</v>
      </c>
      <c r="D101" s="54" t="s">
        <v>59</v>
      </c>
      <c r="E101" s="53" t="s">
        <v>25</v>
      </c>
      <c r="F101" s="54" t="s">
        <v>28</v>
      </c>
      <c r="G101" s="43">
        <v>15000</v>
      </c>
      <c r="H101" s="43">
        <v>15000</v>
      </c>
      <c r="I101" s="43">
        <v>430.5</v>
      </c>
      <c r="J101" s="43">
        <v>0</v>
      </c>
      <c r="K101" s="43">
        <v>456</v>
      </c>
      <c r="L101" s="43">
        <f>100+415.86+31.21</f>
        <v>547.07000000000005</v>
      </c>
      <c r="M101" s="44">
        <f t="shared" si="4"/>
        <v>1433.5700000000002</v>
      </c>
      <c r="N101" s="44">
        <f t="shared" si="5"/>
        <v>13566.43</v>
      </c>
      <c r="O101" s="52" t="s">
        <v>23</v>
      </c>
    </row>
    <row r="102" spans="1:15" s="39" customFormat="1" ht="19.5" customHeight="1" x14ac:dyDescent="0.25">
      <c r="A102" s="12"/>
      <c r="B102" s="52">
        <f t="shared" si="3"/>
        <v>97</v>
      </c>
      <c r="C102" s="53" t="s">
        <v>149</v>
      </c>
      <c r="D102" s="54" t="s">
        <v>59</v>
      </c>
      <c r="E102" s="53" t="s">
        <v>25</v>
      </c>
      <c r="F102" s="54" t="s">
        <v>150</v>
      </c>
      <c r="G102" s="43">
        <v>13550</v>
      </c>
      <c r="H102" s="43">
        <v>13550</v>
      </c>
      <c r="I102" s="43">
        <v>388.89</v>
      </c>
      <c r="J102" s="43">
        <v>0</v>
      </c>
      <c r="K102" s="43">
        <v>411.92</v>
      </c>
      <c r="L102" s="43">
        <v>29.21</v>
      </c>
      <c r="M102" s="44">
        <f t="shared" si="4"/>
        <v>830.02</v>
      </c>
      <c r="N102" s="44">
        <f t="shared" si="5"/>
        <v>12719.98</v>
      </c>
      <c r="O102" s="52" t="s">
        <v>19</v>
      </c>
    </row>
    <row r="103" spans="1:15" s="39" customFormat="1" ht="16.5" customHeight="1" x14ac:dyDescent="0.25">
      <c r="A103" s="12"/>
      <c r="B103" s="52">
        <f t="shared" si="3"/>
        <v>98</v>
      </c>
      <c r="C103" s="53" t="s">
        <v>151</v>
      </c>
      <c r="D103" s="54" t="s">
        <v>59</v>
      </c>
      <c r="E103" s="53" t="s">
        <v>25</v>
      </c>
      <c r="F103" s="54" t="s">
        <v>150</v>
      </c>
      <c r="G103" s="43">
        <v>19800</v>
      </c>
      <c r="H103" s="43">
        <v>19800</v>
      </c>
      <c r="I103" s="43">
        <v>568.26</v>
      </c>
      <c r="J103" s="43">
        <v>0</v>
      </c>
      <c r="K103" s="43">
        <v>601.91999999999996</v>
      </c>
      <c r="L103" s="43">
        <f>100+29.21+1000+3917.05</f>
        <v>5046.26</v>
      </c>
      <c r="M103" s="44">
        <f t="shared" si="4"/>
        <v>6216.4400000000005</v>
      </c>
      <c r="N103" s="44">
        <f t="shared" si="5"/>
        <v>13583.56</v>
      </c>
      <c r="O103" s="52" t="s">
        <v>19</v>
      </c>
    </row>
    <row r="104" spans="1:15" s="39" customFormat="1" ht="17.25" customHeight="1" x14ac:dyDescent="0.25">
      <c r="A104" s="12"/>
      <c r="B104" s="52">
        <f t="shared" si="3"/>
        <v>99</v>
      </c>
      <c r="C104" s="53" t="s">
        <v>152</v>
      </c>
      <c r="D104" s="54" t="s">
        <v>59</v>
      </c>
      <c r="E104" s="53" t="s">
        <v>25</v>
      </c>
      <c r="F104" s="54" t="s">
        <v>106</v>
      </c>
      <c r="G104" s="43">
        <v>13000</v>
      </c>
      <c r="H104" s="43">
        <v>13000</v>
      </c>
      <c r="I104" s="43">
        <v>373.1</v>
      </c>
      <c r="J104" s="43">
        <v>0</v>
      </c>
      <c r="K104" s="43">
        <v>395.2</v>
      </c>
      <c r="L104" s="43">
        <v>3164.69</v>
      </c>
      <c r="M104" s="44">
        <f t="shared" si="4"/>
        <v>3932.99</v>
      </c>
      <c r="N104" s="44">
        <f t="shared" si="5"/>
        <v>9067.01</v>
      </c>
      <c r="O104" s="52" t="s">
        <v>19</v>
      </c>
    </row>
    <row r="105" spans="1:15" s="39" customFormat="1" x14ac:dyDescent="0.25">
      <c r="A105" s="12"/>
      <c r="B105" s="52">
        <f t="shared" si="3"/>
        <v>100</v>
      </c>
      <c r="C105" s="53" t="s">
        <v>153</v>
      </c>
      <c r="D105" s="54" t="s">
        <v>59</v>
      </c>
      <c r="E105" s="53" t="s">
        <v>25</v>
      </c>
      <c r="F105" s="54" t="s">
        <v>62</v>
      </c>
      <c r="G105" s="43">
        <v>15000</v>
      </c>
      <c r="H105" s="43">
        <v>15000</v>
      </c>
      <c r="I105" s="43">
        <v>430.5</v>
      </c>
      <c r="J105" s="43">
        <v>0</v>
      </c>
      <c r="K105" s="43">
        <v>456</v>
      </c>
      <c r="L105" s="43">
        <f>120+31.21+1000+3142.82+2637.48</f>
        <v>6931.51</v>
      </c>
      <c r="M105" s="44">
        <f t="shared" si="4"/>
        <v>7818.01</v>
      </c>
      <c r="N105" s="44">
        <f t="shared" si="5"/>
        <v>7181.99</v>
      </c>
      <c r="O105" s="52" t="s">
        <v>23</v>
      </c>
    </row>
    <row r="106" spans="1:15" s="39" customFormat="1" ht="22.5" customHeight="1" x14ac:dyDescent="0.25">
      <c r="A106" s="12"/>
      <c r="B106" s="52">
        <f>B105+1</f>
        <v>101</v>
      </c>
      <c r="C106" s="53" t="s">
        <v>154</v>
      </c>
      <c r="D106" s="54" t="s">
        <v>59</v>
      </c>
      <c r="E106" s="53" t="s">
        <v>25</v>
      </c>
      <c r="F106" s="54" t="s">
        <v>122</v>
      </c>
      <c r="G106" s="43">
        <v>85000</v>
      </c>
      <c r="H106" s="43">
        <v>85000</v>
      </c>
      <c r="I106" s="43">
        <v>2439.5</v>
      </c>
      <c r="J106" s="43">
        <v>8576.99</v>
      </c>
      <c r="K106" s="43">
        <v>2584</v>
      </c>
      <c r="L106" s="43">
        <f>5779.73+31.21+500+3142.81</f>
        <v>9453.75</v>
      </c>
      <c r="M106" s="44">
        <f t="shared" si="4"/>
        <v>23054.239999999998</v>
      </c>
      <c r="N106" s="44">
        <f t="shared" si="5"/>
        <v>61945.760000000002</v>
      </c>
      <c r="O106" s="52" t="s">
        <v>19</v>
      </c>
    </row>
    <row r="107" spans="1:15" s="39" customFormat="1" ht="21" customHeight="1" x14ac:dyDescent="0.25">
      <c r="A107" s="12"/>
      <c r="B107" s="52">
        <f t="shared" si="3"/>
        <v>102</v>
      </c>
      <c r="C107" s="53" t="s">
        <v>155</v>
      </c>
      <c r="D107" s="54" t="s">
        <v>59</v>
      </c>
      <c r="E107" s="53" t="s">
        <v>25</v>
      </c>
      <c r="F107" s="54" t="s">
        <v>62</v>
      </c>
      <c r="G107" s="43">
        <v>15000</v>
      </c>
      <c r="H107" s="43">
        <v>15000</v>
      </c>
      <c r="I107" s="43">
        <v>430.5</v>
      </c>
      <c r="J107" s="43">
        <v>0</v>
      </c>
      <c r="K107" s="43">
        <v>456</v>
      </c>
      <c r="L107" s="43">
        <f>31.21+2000+3515.7+2637.48</f>
        <v>8184.3899999999994</v>
      </c>
      <c r="M107" s="44">
        <f t="shared" si="4"/>
        <v>9070.89</v>
      </c>
      <c r="N107" s="44">
        <f t="shared" si="5"/>
        <v>5929.1100000000006</v>
      </c>
      <c r="O107" s="52" t="s">
        <v>23</v>
      </c>
    </row>
    <row r="108" spans="1:15" s="39" customFormat="1" x14ac:dyDescent="0.25">
      <c r="A108" s="12"/>
      <c r="B108" s="52">
        <f t="shared" si="3"/>
        <v>103</v>
      </c>
      <c r="C108" s="53" t="s">
        <v>156</v>
      </c>
      <c r="D108" s="54" t="s">
        <v>59</v>
      </c>
      <c r="E108" s="53" t="s">
        <v>25</v>
      </c>
      <c r="F108" s="54" t="s">
        <v>106</v>
      </c>
      <c r="G108" s="43">
        <v>13000</v>
      </c>
      <c r="H108" s="43">
        <v>13000</v>
      </c>
      <c r="I108" s="43">
        <v>373.1</v>
      </c>
      <c r="J108" s="43">
        <v>0</v>
      </c>
      <c r="K108" s="43">
        <v>395.2</v>
      </c>
      <c r="L108" s="43">
        <f>2031.21+879.16</f>
        <v>2910.37</v>
      </c>
      <c r="M108" s="44">
        <f t="shared" si="4"/>
        <v>3678.67</v>
      </c>
      <c r="N108" s="44">
        <f t="shared" si="5"/>
        <v>9321.33</v>
      </c>
      <c r="O108" s="52" t="s">
        <v>19</v>
      </c>
    </row>
    <row r="109" spans="1:15" s="39" customFormat="1" ht="21" customHeight="1" x14ac:dyDescent="0.25">
      <c r="A109" s="12"/>
      <c r="B109" s="52">
        <f t="shared" si="3"/>
        <v>104</v>
      </c>
      <c r="C109" s="53" t="s">
        <v>157</v>
      </c>
      <c r="D109" s="54" t="s">
        <v>59</v>
      </c>
      <c r="E109" s="53" t="s">
        <v>25</v>
      </c>
      <c r="F109" s="54" t="s">
        <v>62</v>
      </c>
      <c r="G109" s="43">
        <v>15000</v>
      </c>
      <c r="H109" s="43">
        <v>15000</v>
      </c>
      <c r="I109" s="43">
        <v>430.5</v>
      </c>
      <c r="J109" s="43">
        <v>0</v>
      </c>
      <c r="K109" s="43">
        <v>456</v>
      </c>
      <c r="L109" s="43">
        <v>31.21</v>
      </c>
      <c r="M109" s="44">
        <f t="shared" si="4"/>
        <v>917.71</v>
      </c>
      <c r="N109" s="44">
        <f t="shared" si="5"/>
        <v>14082.29</v>
      </c>
      <c r="O109" s="52" t="s">
        <v>23</v>
      </c>
    </row>
    <row r="110" spans="1:15" s="39" customFormat="1" x14ac:dyDescent="0.25">
      <c r="A110" s="12"/>
      <c r="B110" s="52">
        <f t="shared" si="3"/>
        <v>105</v>
      </c>
      <c r="C110" s="53" t="s">
        <v>158</v>
      </c>
      <c r="D110" s="54" t="s">
        <v>59</v>
      </c>
      <c r="E110" s="53" t="s">
        <v>25</v>
      </c>
      <c r="F110" s="54" t="s">
        <v>28</v>
      </c>
      <c r="G110" s="43">
        <v>10000</v>
      </c>
      <c r="H110" s="43">
        <v>10000</v>
      </c>
      <c r="I110" s="43">
        <v>287</v>
      </c>
      <c r="J110" s="43">
        <v>0</v>
      </c>
      <c r="K110" s="43">
        <v>304</v>
      </c>
      <c r="L110" s="43">
        <v>31.21</v>
      </c>
      <c r="M110" s="44">
        <f t="shared" si="4"/>
        <v>622.21</v>
      </c>
      <c r="N110" s="44">
        <f t="shared" si="5"/>
        <v>9377.7900000000009</v>
      </c>
      <c r="O110" s="52" t="s">
        <v>23</v>
      </c>
    </row>
    <row r="111" spans="1:15" s="39" customFormat="1" x14ac:dyDescent="0.25">
      <c r="A111" s="12"/>
      <c r="B111" s="52">
        <f t="shared" si="3"/>
        <v>106</v>
      </c>
      <c r="C111" s="53" t="s">
        <v>159</v>
      </c>
      <c r="D111" s="54" t="s">
        <v>59</v>
      </c>
      <c r="E111" s="53" t="s">
        <v>25</v>
      </c>
      <c r="F111" s="54" t="s">
        <v>106</v>
      </c>
      <c r="G111" s="43">
        <v>13000</v>
      </c>
      <c r="H111" s="43">
        <v>13000</v>
      </c>
      <c r="I111" s="43">
        <v>373.1</v>
      </c>
      <c r="J111" s="43">
        <v>0</v>
      </c>
      <c r="K111" s="43">
        <v>395.2</v>
      </c>
      <c r="L111" s="43">
        <f>1455.5+29.21+500+3515.7</f>
        <v>5500.41</v>
      </c>
      <c r="M111" s="44">
        <f>+L111+K111+J111+I111</f>
        <v>6268.71</v>
      </c>
      <c r="N111" s="44">
        <f>+G111-M111</f>
        <v>6731.29</v>
      </c>
      <c r="O111" s="52" t="s">
        <v>19</v>
      </c>
    </row>
    <row r="112" spans="1:15" s="39" customFormat="1" x14ac:dyDescent="0.25">
      <c r="A112" s="12"/>
      <c r="B112" s="52">
        <f t="shared" si="3"/>
        <v>107</v>
      </c>
      <c r="C112" s="53" t="s">
        <v>160</v>
      </c>
      <c r="D112" s="54" t="s">
        <v>59</v>
      </c>
      <c r="E112" s="53" t="s">
        <v>25</v>
      </c>
      <c r="F112" s="54" t="s">
        <v>106</v>
      </c>
      <c r="G112" s="43">
        <v>13000</v>
      </c>
      <c r="H112" s="43">
        <v>13000</v>
      </c>
      <c r="I112" s="43">
        <v>373.1</v>
      </c>
      <c r="J112" s="43">
        <v>0</v>
      </c>
      <c r="K112" s="43">
        <v>395.2</v>
      </c>
      <c r="L112" s="43">
        <v>31.21</v>
      </c>
      <c r="M112" s="44">
        <f t="shared" si="4"/>
        <v>799.51</v>
      </c>
      <c r="N112" s="44">
        <f t="shared" si="5"/>
        <v>12200.49</v>
      </c>
      <c r="O112" s="52" t="s">
        <v>19</v>
      </c>
    </row>
    <row r="113" spans="1:15" s="39" customFormat="1" x14ac:dyDescent="0.25">
      <c r="A113" s="12"/>
      <c r="B113" s="52">
        <f t="shared" si="3"/>
        <v>108</v>
      </c>
      <c r="C113" s="53" t="s">
        <v>161</v>
      </c>
      <c r="D113" s="54" t="s">
        <v>59</v>
      </c>
      <c r="E113" s="53" t="s">
        <v>25</v>
      </c>
      <c r="F113" s="54" t="s">
        <v>62</v>
      </c>
      <c r="G113" s="43">
        <v>15000</v>
      </c>
      <c r="H113" s="43">
        <v>15000</v>
      </c>
      <c r="I113" s="43">
        <v>430.5</v>
      </c>
      <c r="J113" s="43">
        <v>0</v>
      </c>
      <c r="K113" s="43">
        <v>456</v>
      </c>
      <c r="L113" s="43">
        <v>31.21</v>
      </c>
      <c r="M113" s="44">
        <f t="shared" si="4"/>
        <v>917.71</v>
      </c>
      <c r="N113" s="44">
        <f t="shared" si="5"/>
        <v>14082.29</v>
      </c>
      <c r="O113" s="52" t="s">
        <v>23</v>
      </c>
    </row>
    <row r="114" spans="1:15" s="39" customFormat="1" x14ac:dyDescent="0.25">
      <c r="A114" s="12"/>
      <c r="B114" s="52">
        <f t="shared" si="3"/>
        <v>109</v>
      </c>
      <c r="C114" s="53" t="s">
        <v>162</v>
      </c>
      <c r="D114" s="54" t="s">
        <v>59</v>
      </c>
      <c r="E114" s="53" t="s">
        <v>25</v>
      </c>
      <c r="F114" s="54" t="s">
        <v>106</v>
      </c>
      <c r="G114" s="43">
        <v>13000</v>
      </c>
      <c r="H114" s="43">
        <v>13000</v>
      </c>
      <c r="I114" s="43">
        <v>373.1</v>
      </c>
      <c r="J114" s="43">
        <v>0</v>
      </c>
      <c r="K114" s="43">
        <v>395.2</v>
      </c>
      <c r="L114" s="43">
        <v>31.21</v>
      </c>
      <c r="M114" s="44">
        <f t="shared" si="4"/>
        <v>799.51</v>
      </c>
      <c r="N114" s="44">
        <f t="shared" si="5"/>
        <v>12200.49</v>
      </c>
      <c r="O114" s="52" t="s">
        <v>19</v>
      </c>
    </row>
    <row r="115" spans="1:15" s="39" customFormat="1" x14ac:dyDescent="0.25">
      <c r="A115" s="12"/>
      <c r="B115" s="52">
        <f t="shared" si="3"/>
        <v>110</v>
      </c>
      <c r="C115" s="53" t="s">
        <v>163</v>
      </c>
      <c r="D115" s="54" t="s">
        <v>59</v>
      </c>
      <c r="E115" s="53" t="s">
        <v>25</v>
      </c>
      <c r="F115" s="54" t="s">
        <v>62</v>
      </c>
      <c r="G115" s="43">
        <v>10000</v>
      </c>
      <c r="H115" s="43">
        <v>10000</v>
      </c>
      <c r="I115" s="43">
        <v>287</v>
      </c>
      <c r="J115" s="43">
        <v>0</v>
      </c>
      <c r="K115" s="43">
        <v>304</v>
      </c>
      <c r="L115" s="43">
        <v>29.21</v>
      </c>
      <c r="M115" s="44">
        <f t="shared" si="4"/>
        <v>620.21</v>
      </c>
      <c r="N115" s="44">
        <f t="shared" si="5"/>
        <v>9379.7900000000009</v>
      </c>
      <c r="O115" s="52" t="s">
        <v>23</v>
      </c>
    </row>
    <row r="116" spans="1:15" s="39" customFormat="1" x14ac:dyDescent="0.25">
      <c r="A116" s="12"/>
      <c r="B116" s="52">
        <f t="shared" si="3"/>
        <v>111</v>
      </c>
      <c r="C116" s="53" t="s">
        <v>164</v>
      </c>
      <c r="D116" s="54" t="s">
        <v>59</v>
      </c>
      <c r="E116" s="53" t="s">
        <v>25</v>
      </c>
      <c r="F116" s="54" t="s">
        <v>106</v>
      </c>
      <c r="G116" s="43">
        <v>13000</v>
      </c>
      <c r="H116" s="43">
        <v>13000</v>
      </c>
      <c r="I116" s="43">
        <v>373.1</v>
      </c>
      <c r="J116" s="43">
        <v>0</v>
      </c>
      <c r="K116" s="43">
        <v>395.2</v>
      </c>
      <c r="L116" s="43">
        <v>31.21</v>
      </c>
      <c r="M116" s="44">
        <f t="shared" si="4"/>
        <v>799.51</v>
      </c>
      <c r="N116" s="44">
        <f t="shared" si="5"/>
        <v>12200.49</v>
      </c>
      <c r="O116" s="52" t="s">
        <v>19</v>
      </c>
    </row>
    <row r="117" spans="1:15" s="39" customFormat="1" ht="18.75" customHeight="1" x14ac:dyDescent="0.25">
      <c r="A117" s="12"/>
      <c r="B117" s="52">
        <f t="shared" si="3"/>
        <v>112</v>
      </c>
      <c r="C117" s="53" t="s">
        <v>165</v>
      </c>
      <c r="D117" s="54" t="s">
        <v>59</v>
      </c>
      <c r="E117" s="53" t="s">
        <v>25</v>
      </c>
      <c r="F117" s="54" t="s">
        <v>62</v>
      </c>
      <c r="G117" s="43">
        <v>15000</v>
      </c>
      <c r="H117" s="43">
        <v>15000</v>
      </c>
      <c r="I117" s="43">
        <v>430.5</v>
      </c>
      <c r="J117" s="43">
        <v>0</v>
      </c>
      <c r="K117" s="43">
        <v>456</v>
      </c>
      <c r="L117" s="43">
        <v>229.21</v>
      </c>
      <c r="M117" s="44">
        <f t="shared" si="4"/>
        <v>1115.71</v>
      </c>
      <c r="N117" s="44">
        <f t="shared" si="5"/>
        <v>13884.29</v>
      </c>
      <c r="O117" s="52" t="s">
        <v>23</v>
      </c>
    </row>
    <row r="118" spans="1:15" s="39" customFormat="1" ht="19.5" customHeight="1" x14ac:dyDescent="0.25">
      <c r="A118" s="12"/>
      <c r="B118" s="52">
        <f t="shared" si="3"/>
        <v>113</v>
      </c>
      <c r="C118" s="53" t="s">
        <v>166</v>
      </c>
      <c r="D118" s="54" t="s">
        <v>59</v>
      </c>
      <c r="E118" s="53" t="s">
        <v>25</v>
      </c>
      <c r="F118" s="54" t="s">
        <v>106</v>
      </c>
      <c r="G118" s="43">
        <v>13000</v>
      </c>
      <c r="H118" s="43">
        <v>13000</v>
      </c>
      <c r="I118" s="43">
        <v>373.1</v>
      </c>
      <c r="J118" s="43">
        <v>0</v>
      </c>
      <c r="K118" s="43">
        <v>395.2</v>
      </c>
      <c r="L118" s="43">
        <v>31.21</v>
      </c>
      <c r="M118" s="44">
        <f t="shared" si="4"/>
        <v>799.51</v>
      </c>
      <c r="N118" s="44">
        <f t="shared" si="5"/>
        <v>12200.49</v>
      </c>
      <c r="O118" s="52" t="s">
        <v>19</v>
      </c>
    </row>
    <row r="119" spans="1:15" s="39" customFormat="1" ht="17.25" customHeight="1" x14ac:dyDescent="0.25">
      <c r="A119" s="12"/>
      <c r="B119" s="52">
        <f t="shared" si="3"/>
        <v>114</v>
      </c>
      <c r="C119" s="53" t="s">
        <v>167</v>
      </c>
      <c r="D119" s="54" t="s">
        <v>59</v>
      </c>
      <c r="E119" s="53" t="s">
        <v>25</v>
      </c>
      <c r="F119" s="54" t="s">
        <v>106</v>
      </c>
      <c r="G119" s="43">
        <v>13000</v>
      </c>
      <c r="H119" s="43">
        <v>13000</v>
      </c>
      <c r="I119" s="43">
        <v>373.1</v>
      </c>
      <c r="J119" s="43">
        <v>0</v>
      </c>
      <c r="K119" s="43">
        <v>395.2</v>
      </c>
      <c r="L119" s="43">
        <v>31.21</v>
      </c>
      <c r="M119" s="44">
        <f t="shared" si="4"/>
        <v>799.51</v>
      </c>
      <c r="N119" s="44">
        <f t="shared" si="5"/>
        <v>12200.49</v>
      </c>
      <c r="O119" s="52" t="s">
        <v>19</v>
      </c>
    </row>
    <row r="120" spans="1:15" s="39" customFormat="1" ht="17.25" customHeight="1" x14ac:dyDescent="0.25">
      <c r="A120" s="12"/>
      <c r="B120" s="52">
        <f t="shared" si="3"/>
        <v>115</v>
      </c>
      <c r="C120" s="53" t="s">
        <v>168</v>
      </c>
      <c r="D120" s="54" t="s">
        <v>59</v>
      </c>
      <c r="E120" s="53" t="s">
        <v>25</v>
      </c>
      <c r="F120" s="54" t="s">
        <v>106</v>
      </c>
      <c r="G120" s="43">
        <v>13000</v>
      </c>
      <c r="H120" s="43">
        <v>13000</v>
      </c>
      <c r="I120" s="43">
        <v>373.1</v>
      </c>
      <c r="J120" s="43">
        <v>0</v>
      </c>
      <c r="K120" s="43">
        <v>395.2</v>
      </c>
      <c r="L120" s="43">
        <v>31.21</v>
      </c>
      <c r="M120" s="44">
        <f t="shared" si="4"/>
        <v>799.51</v>
      </c>
      <c r="N120" s="44">
        <f t="shared" si="5"/>
        <v>12200.49</v>
      </c>
      <c r="O120" s="52" t="s">
        <v>19</v>
      </c>
    </row>
    <row r="121" spans="1:15" s="39" customFormat="1" ht="19.5" customHeight="1" x14ac:dyDescent="0.25">
      <c r="A121" s="12"/>
      <c r="B121" s="52">
        <f t="shared" si="3"/>
        <v>116</v>
      </c>
      <c r="C121" s="53" t="s">
        <v>169</v>
      </c>
      <c r="D121" s="54" t="s">
        <v>59</v>
      </c>
      <c r="E121" s="53" t="s">
        <v>25</v>
      </c>
      <c r="F121" s="54" t="s">
        <v>106</v>
      </c>
      <c r="G121" s="43">
        <v>10000</v>
      </c>
      <c r="H121" s="43">
        <v>10000</v>
      </c>
      <c r="I121" s="43">
        <v>287</v>
      </c>
      <c r="J121" s="43">
        <v>0</v>
      </c>
      <c r="K121" s="43">
        <v>304</v>
      </c>
      <c r="L121" s="43">
        <v>31.21</v>
      </c>
      <c r="M121" s="44">
        <f t="shared" si="4"/>
        <v>622.21</v>
      </c>
      <c r="N121" s="44">
        <f t="shared" si="5"/>
        <v>9377.7900000000009</v>
      </c>
      <c r="O121" s="52" t="s">
        <v>19</v>
      </c>
    </row>
    <row r="122" spans="1:15" s="39" customFormat="1" ht="18.75" customHeight="1" x14ac:dyDescent="0.25">
      <c r="A122" s="12"/>
      <c r="B122" s="52">
        <f t="shared" si="3"/>
        <v>117</v>
      </c>
      <c r="C122" s="53" t="s">
        <v>170</v>
      </c>
      <c r="D122" s="54" t="s">
        <v>59</v>
      </c>
      <c r="E122" s="53" t="s">
        <v>25</v>
      </c>
      <c r="F122" s="54" t="s">
        <v>62</v>
      </c>
      <c r="G122" s="43">
        <v>15000</v>
      </c>
      <c r="H122" s="43">
        <v>15000</v>
      </c>
      <c r="I122" s="43">
        <v>430.5</v>
      </c>
      <c r="J122" s="43">
        <v>0</v>
      </c>
      <c r="K122" s="43">
        <v>456</v>
      </c>
      <c r="L122" s="43">
        <f>31.21+1000+2203.34+2637.48</f>
        <v>5872.0300000000007</v>
      </c>
      <c r="M122" s="44">
        <f t="shared" si="4"/>
        <v>6758.5300000000007</v>
      </c>
      <c r="N122" s="44">
        <f t="shared" si="5"/>
        <v>8241.4699999999993</v>
      </c>
      <c r="O122" s="52" t="s">
        <v>23</v>
      </c>
    </row>
    <row r="123" spans="1:15" s="39" customFormat="1" x14ac:dyDescent="0.25">
      <c r="A123" s="12"/>
      <c r="B123" s="52">
        <f t="shared" si="3"/>
        <v>118</v>
      </c>
      <c r="C123" s="53" t="s">
        <v>171</v>
      </c>
      <c r="D123" s="54" t="s">
        <v>59</v>
      </c>
      <c r="E123" s="53" t="s">
        <v>25</v>
      </c>
      <c r="F123" s="54" t="s">
        <v>106</v>
      </c>
      <c r="G123" s="43">
        <v>15000</v>
      </c>
      <c r="H123" s="43">
        <v>15000</v>
      </c>
      <c r="I123" s="43">
        <v>430.5</v>
      </c>
      <c r="J123" s="43">
        <v>0</v>
      </c>
      <c r="K123" s="43">
        <v>456</v>
      </c>
      <c r="L123" s="43">
        <v>31.21</v>
      </c>
      <c r="M123" s="44">
        <f t="shared" si="4"/>
        <v>917.71</v>
      </c>
      <c r="N123" s="44">
        <f t="shared" si="5"/>
        <v>14082.29</v>
      </c>
      <c r="O123" s="52" t="s">
        <v>19</v>
      </c>
    </row>
    <row r="124" spans="1:15" s="39" customFormat="1" x14ac:dyDescent="0.25">
      <c r="A124" s="12"/>
      <c r="B124" s="52">
        <f t="shared" si="3"/>
        <v>119</v>
      </c>
      <c r="C124" s="53" t="s">
        <v>172</v>
      </c>
      <c r="D124" s="54" t="s">
        <v>59</v>
      </c>
      <c r="E124" s="53" t="s">
        <v>25</v>
      </c>
      <c r="F124" s="54" t="s">
        <v>106</v>
      </c>
      <c r="G124" s="43">
        <v>13000</v>
      </c>
      <c r="H124" s="43">
        <v>13000</v>
      </c>
      <c r="I124" s="43">
        <v>373.1</v>
      </c>
      <c r="J124" s="43">
        <v>0</v>
      </c>
      <c r="K124" s="43">
        <v>395.2</v>
      </c>
      <c r="L124" s="43">
        <v>31.21</v>
      </c>
      <c r="M124" s="44">
        <f t="shared" si="4"/>
        <v>799.51</v>
      </c>
      <c r="N124" s="44">
        <f t="shared" si="5"/>
        <v>12200.49</v>
      </c>
      <c r="O124" s="52" t="s">
        <v>19</v>
      </c>
    </row>
    <row r="125" spans="1:15" s="39" customFormat="1" ht="18.75" customHeight="1" x14ac:dyDescent="0.25">
      <c r="A125" s="12"/>
      <c r="B125" s="52">
        <f t="shared" si="3"/>
        <v>120</v>
      </c>
      <c r="C125" s="53" t="s">
        <v>173</v>
      </c>
      <c r="D125" s="54" t="s">
        <v>59</v>
      </c>
      <c r="E125" s="53" t="s">
        <v>25</v>
      </c>
      <c r="F125" s="54" t="s">
        <v>106</v>
      </c>
      <c r="G125" s="43">
        <v>13000</v>
      </c>
      <c r="H125" s="43">
        <v>13000</v>
      </c>
      <c r="I125" s="43">
        <v>373.1</v>
      </c>
      <c r="J125" s="43">
        <v>0</v>
      </c>
      <c r="K125" s="43">
        <v>395.2</v>
      </c>
      <c r="L125" s="43">
        <v>31.21</v>
      </c>
      <c r="M125" s="44">
        <f t="shared" si="4"/>
        <v>799.51</v>
      </c>
      <c r="N125" s="44">
        <f t="shared" si="5"/>
        <v>12200.49</v>
      </c>
      <c r="O125" s="52" t="s">
        <v>19</v>
      </c>
    </row>
    <row r="126" spans="1:15" s="39" customFormat="1" ht="20.25" customHeight="1" x14ac:dyDescent="0.25">
      <c r="A126" s="12"/>
      <c r="B126" s="52">
        <f t="shared" si="3"/>
        <v>121</v>
      </c>
      <c r="C126" s="53" t="s">
        <v>174</v>
      </c>
      <c r="D126" s="54" t="s">
        <v>59</v>
      </c>
      <c r="E126" s="53" t="s">
        <v>25</v>
      </c>
      <c r="F126" s="54" t="s">
        <v>150</v>
      </c>
      <c r="G126" s="43">
        <v>10000</v>
      </c>
      <c r="H126" s="43">
        <v>10000</v>
      </c>
      <c r="I126" s="43">
        <v>287</v>
      </c>
      <c r="J126" s="43">
        <v>0</v>
      </c>
      <c r="K126" s="43">
        <v>304</v>
      </c>
      <c r="L126" s="43">
        <v>21.25</v>
      </c>
      <c r="M126" s="44">
        <f t="shared" si="4"/>
        <v>612.25</v>
      </c>
      <c r="N126" s="44">
        <f t="shared" si="5"/>
        <v>9387.75</v>
      </c>
      <c r="O126" s="52" t="s">
        <v>19</v>
      </c>
    </row>
    <row r="127" spans="1:15" s="39" customFormat="1" x14ac:dyDescent="0.25">
      <c r="A127" s="12"/>
      <c r="B127" s="52">
        <f t="shared" si="3"/>
        <v>122</v>
      </c>
      <c r="C127" s="53" t="s">
        <v>175</v>
      </c>
      <c r="D127" s="54" t="s">
        <v>59</v>
      </c>
      <c r="E127" s="53" t="s">
        <v>25</v>
      </c>
      <c r="F127" s="54" t="s">
        <v>150</v>
      </c>
      <c r="G127" s="43">
        <v>10000</v>
      </c>
      <c r="H127" s="43">
        <v>10000</v>
      </c>
      <c r="I127" s="43">
        <v>287</v>
      </c>
      <c r="J127" s="43">
        <v>0</v>
      </c>
      <c r="K127" s="43">
        <v>304</v>
      </c>
      <c r="L127" s="43">
        <v>31.21</v>
      </c>
      <c r="M127" s="44">
        <f t="shared" si="4"/>
        <v>622.21</v>
      </c>
      <c r="N127" s="44">
        <f t="shared" si="5"/>
        <v>9377.7900000000009</v>
      </c>
      <c r="O127" s="52" t="s">
        <v>19</v>
      </c>
    </row>
    <row r="128" spans="1:15" s="39" customFormat="1" ht="18.75" customHeight="1" x14ac:dyDescent="0.25">
      <c r="A128" s="12"/>
      <c r="B128" s="52">
        <f t="shared" si="3"/>
        <v>123</v>
      </c>
      <c r="C128" s="53" t="s">
        <v>176</v>
      </c>
      <c r="D128" s="54" t="s">
        <v>59</v>
      </c>
      <c r="E128" s="53" t="s">
        <v>25</v>
      </c>
      <c r="F128" s="54" t="s">
        <v>106</v>
      </c>
      <c r="G128" s="43">
        <v>10000</v>
      </c>
      <c r="H128" s="43">
        <v>10000</v>
      </c>
      <c r="I128" s="43">
        <v>287</v>
      </c>
      <c r="J128" s="43">
        <v>0</v>
      </c>
      <c r="K128" s="43">
        <v>304</v>
      </c>
      <c r="L128" s="43">
        <v>21.25</v>
      </c>
      <c r="M128" s="44">
        <f t="shared" si="4"/>
        <v>612.25</v>
      </c>
      <c r="N128" s="44">
        <f t="shared" si="5"/>
        <v>9387.75</v>
      </c>
      <c r="O128" s="52" t="s">
        <v>19</v>
      </c>
    </row>
    <row r="129" spans="1:15" s="39" customFormat="1" ht="18" customHeight="1" x14ac:dyDescent="0.25">
      <c r="A129" s="12"/>
      <c r="B129" s="52">
        <f t="shared" si="3"/>
        <v>124</v>
      </c>
      <c r="C129" s="53" t="s">
        <v>177</v>
      </c>
      <c r="D129" s="54" t="s">
        <v>59</v>
      </c>
      <c r="E129" s="53" t="s">
        <v>25</v>
      </c>
      <c r="F129" s="54" t="s">
        <v>62</v>
      </c>
      <c r="G129" s="43">
        <v>10000</v>
      </c>
      <c r="H129" s="43">
        <v>10000</v>
      </c>
      <c r="I129" s="43">
        <v>287</v>
      </c>
      <c r="J129" s="43">
        <v>0</v>
      </c>
      <c r="K129" s="43">
        <v>304</v>
      </c>
      <c r="L129" s="43">
        <v>1744.67</v>
      </c>
      <c r="M129" s="44">
        <f t="shared" si="4"/>
        <v>2335.67</v>
      </c>
      <c r="N129" s="44">
        <f t="shared" si="5"/>
        <v>7664.33</v>
      </c>
      <c r="O129" s="52" t="s">
        <v>23</v>
      </c>
    </row>
    <row r="130" spans="1:15" s="39" customFormat="1" ht="18" customHeight="1" x14ac:dyDescent="0.25">
      <c r="A130" s="12"/>
      <c r="B130" s="52">
        <f t="shared" si="3"/>
        <v>125</v>
      </c>
      <c r="C130" s="53" t="s">
        <v>178</v>
      </c>
      <c r="D130" s="54" t="s">
        <v>59</v>
      </c>
      <c r="E130" s="53" t="s">
        <v>25</v>
      </c>
      <c r="F130" s="54" t="s">
        <v>150</v>
      </c>
      <c r="G130" s="43">
        <v>16500</v>
      </c>
      <c r="H130" s="43">
        <v>16500</v>
      </c>
      <c r="I130" s="43">
        <v>473.55</v>
      </c>
      <c r="J130" s="43">
        <v>0</v>
      </c>
      <c r="K130" s="43">
        <v>501.6</v>
      </c>
      <c r="L130" s="43">
        <v>151.21</v>
      </c>
      <c r="M130" s="44">
        <f t="shared" si="4"/>
        <v>1126.3600000000001</v>
      </c>
      <c r="N130" s="44">
        <f t="shared" si="5"/>
        <v>15373.64</v>
      </c>
      <c r="O130" s="52" t="s">
        <v>19</v>
      </c>
    </row>
    <row r="131" spans="1:15" s="39" customFormat="1" x14ac:dyDescent="0.25">
      <c r="A131" s="12"/>
      <c r="B131" s="52">
        <f t="shared" si="3"/>
        <v>126</v>
      </c>
      <c r="C131" s="53" t="s">
        <v>179</v>
      </c>
      <c r="D131" s="54" t="s">
        <v>59</v>
      </c>
      <c r="E131" s="53" t="s">
        <v>25</v>
      </c>
      <c r="F131" s="54" t="s">
        <v>62</v>
      </c>
      <c r="G131" s="43">
        <v>15000</v>
      </c>
      <c r="H131" s="43">
        <v>15000</v>
      </c>
      <c r="I131" s="43">
        <v>430.5</v>
      </c>
      <c r="J131" s="43">
        <v>0</v>
      </c>
      <c r="K131" s="43">
        <v>456</v>
      </c>
      <c r="L131" s="43">
        <v>31.21</v>
      </c>
      <c r="M131" s="44">
        <f t="shared" si="4"/>
        <v>917.71</v>
      </c>
      <c r="N131" s="44">
        <f t="shared" si="5"/>
        <v>14082.29</v>
      </c>
      <c r="O131" s="52" t="s">
        <v>23</v>
      </c>
    </row>
    <row r="132" spans="1:15" s="39" customFormat="1" x14ac:dyDescent="0.25">
      <c r="A132" s="12"/>
      <c r="B132" s="52">
        <f t="shared" si="3"/>
        <v>127</v>
      </c>
      <c r="C132" s="53" t="s">
        <v>180</v>
      </c>
      <c r="D132" s="54" t="s">
        <v>59</v>
      </c>
      <c r="E132" s="53" t="s">
        <v>25</v>
      </c>
      <c r="F132" s="54" t="s">
        <v>62</v>
      </c>
      <c r="G132" s="43">
        <v>10000</v>
      </c>
      <c r="H132" s="43">
        <v>10000</v>
      </c>
      <c r="I132" s="43">
        <v>287</v>
      </c>
      <c r="J132" s="43">
        <v>0</v>
      </c>
      <c r="K132" s="43">
        <v>304</v>
      </c>
      <c r="L132" s="43">
        <f>1039.64+31.21+1715.46</f>
        <v>2786.3100000000004</v>
      </c>
      <c r="M132" s="44">
        <f>+L132+K132+J132+I132</f>
        <v>3377.3100000000004</v>
      </c>
      <c r="N132" s="44">
        <f>+G132-M132</f>
        <v>6622.69</v>
      </c>
      <c r="O132" s="52" t="s">
        <v>23</v>
      </c>
    </row>
    <row r="133" spans="1:15" s="39" customFormat="1" x14ac:dyDescent="0.25">
      <c r="A133" s="12"/>
      <c r="B133" s="52">
        <f t="shared" si="3"/>
        <v>128</v>
      </c>
      <c r="C133" s="53" t="s">
        <v>181</v>
      </c>
      <c r="D133" s="54" t="s">
        <v>59</v>
      </c>
      <c r="E133" s="53" t="s">
        <v>25</v>
      </c>
      <c r="F133" s="54" t="s">
        <v>106</v>
      </c>
      <c r="G133" s="43">
        <v>13000</v>
      </c>
      <c r="H133" s="43">
        <v>13000</v>
      </c>
      <c r="I133" s="43">
        <v>373.1</v>
      </c>
      <c r="J133" s="43">
        <v>0</v>
      </c>
      <c r="K133" s="43">
        <v>395.2</v>
      </c>
      <c r="L133" s="43">
        <v>27.21</v>
      </c>
      <c r="M133" s="44">
        <f t="shared" ref="M133:M188" si="6">SUM(I133:L133)</f>
        <v>795.51</v>
      </c>
      <c r="N133" s="44">
        <f t="shared" ref="N133:N196" si="7">G133-M133</f>
        <v>12204.49</v>
      </c>
      <c r="O133" s="52" t="s">
        <v>19</v>
      </c>
    </row>
    <row r="134" spans="1:15" s="39" customFormat="1" x14ac:dyDescent="0.25">
      <c r="A134" s="12"/>
      <c r="B134" s="52">
        <f t="shared" si="3"/>
        <v>129</v>
      </c>
      <c r="C134" s="53" t="s">
        <v>182</v>
      </c>
      <c r="D134" s="54" t="s">
        <v>59</v>
      </c>
      <c r="E134" s="53" t="s">
        <v>25</v>
      </c>
      <c r="F134" s="54" t="s">
        <v>106</v>
      </c>
      <c r="G134" s="43">
        <v>10000</v>
      </c>
      <c r="H134" s="43">
        <v>10000</v>
      </c>
      <c r="I134" s="43">
        <v>287</v>
      </c>
      <c r="J134" s="43">
        <v>0</v>
      </c>
      <c r="K134" s="43">
        <v>304</v>
      </c>
      <c r="L134" s="43">
        <v>31.21</v>
      </c>
      <c r="M134" s="44">
        <f t="shared" si="6"/>
        <v>622.21</v>
      </c>
      <c r="N134" s="44">
        <f t="shared" si="7"/>
        <v>9377.7900000000009</v>
      </c>
      <c r="O134" s="52" t="s">
        <v>19</v>
      </c>
    </row>
    <row r="135" spans="1:15" s="39" customFormat="1" x14ac:dyDescent="0.25">
      <c r="A135" s="12"/>
      <c r="B135" s="52">
        <f t="shared" si="3"/>
        <v>130</v>
      </c>
      <c r="C135" s="53" t="s">
        <v>183</v>
      </c>
      <c r="D135" s="54" t="s">
        <v>59</v>
      </c>
      <c r="E135" s="53" t="s">
        <v>25</v>
      </c>
      <c r="F135" s="54" t="s">
        <v>106</v>
      </c>
      <c r="G135" s="43">
        <v>13000</v>
      </c>
      <c r="H135" s="43">
        <v>13000</v>
      </c>
      <c r="I135" s="43">
        <v>373.1</v>
      </c>
      <c r="J135" s="43">
        <v>0</v>
      </c>
      <c r="K135" s="43">
        <v>395.2</v>
      </c>
      <c r="L135" s="43">
        <v>31.21</v>
      </c>
      <c r="M135" s="44">
        <f t="shared" si="6"/>
        <v>799.51</v>
      </c>
      <c r="N135" s="44">
        <f t="shared" si="7"/>
        <v>12200.49</v>
      </c>
      <c r="O135" s="52" t="s">
        <v>19</v>
      </c>
    </row>
    <row r="136" spans="1:15" s="39" customFormat="1" x14ac:dyDescent="0.25">
      <c r="A136" s="12"/>
      <c r="B136" s="52">
        <f t="shared" si="3"/>
        <v>131</v>
      </c>
      <c r="C136" s="53" t="s">
        <v>184</v>
      </c>
      <c r="D136" s="54" t="s">
        <v>59</v>
      </c>
      <c r="E136" s="53" t="s">
        <v>25</v>
      </c>
      <c r="F136" s="54" t="s">
        <v>106</v>
      </c>
      <c r="G136" s="43">
        <v>10000</v>
      </c>
      <c r="H136" s="43">
        <v>10000</v>
      </c>
      <c r="I136" s="43">
        <v>287</v>
      </c>
      <c r="J136" s="43">
        <v>0</v>
      </c>
      <c r="K136" s="43">
        <v>304</v>
      </c>
      <c r="L136" s="43">
        <v>31.21</v>
      </c>
      <c r="M136" s="44">
        <f t="shared" si="6"/>
        <v>622.21</v>
      </c>
      <c r="N136" s="44">
        <f t="shared" si="7"/>
        <v>9377.7900000000009</v>
      </c>
      <c r="O136" s="52" t="s">
        <v>23</v>
      </c>
    </row>
    <row r="137" spans="1:15" s="39" customFormat="1" x14ac:dyDescent="0.25">
      <c r="A137" s="12"/>
      <c r="B137" s="52">
        <f t="shared" ref="B137:B200" si="8">+B136+1</f>
        <v>132</v>
      </c>
      <c r="C137" s="53" t="s">
        <v>185</v>
      </c>
      <c r="D137" s="54" t="s">
        <v>59</v>
      </c>
      <c r="E137" s="53" t="s">
        <v>25</v>
      </c>
      <c r="F137" s="54" t="s">
        <v>106</v>
      </c>
      <c r="G137" s="43">
        <v>13000</v>
      </c>
      <c r="H137" s="43">
        <v>13000</v>
      </c>
      <c r="I137" s="43">
        <v>373.1</v>
      </c>
      <c r="J137" s="43">
        <v>0</v>
      </c>
      <c r="K137" s="43">
        <v>395.2</v>
      </c>
      <c r="L137" s="43">
        <v>31.21</v>
      </c>
      <c r="M137" s="44">
        <f t="shared" si="6"/>
        <v>799.51</v>
      </c>
      <c r="N137" s="44">
        <f t="shared" si="7"/>
        <v>12200.49</v>
      </c>
      <c r="O137" s="52" t="s">
        <v>19</v>
      </c>
    </row>
    <row r="138" spans="1:15" s="39" customFormat="1" x14ac:dyDescent="0.25">
      <c r="A138" s="12"/>
      <c r="B138" s="52">
        <f t="shared" si="8"/>
        <v>133</v>
      </c>
      <c r="C138" s="53" t="s">
        <v>186</v>
      </c>
      <c r="D138" s="54" t="s">
        <v>59</v>
      </c>
      <c r="E138" s="53" t="s">
        <v>25</v>
      </c>
      <c r="F138" s="54" t="s">
        <v>106</v>
      </c>
      <c r="G138" s="43">
        <v>10000</v>
      </c>
      <c r="H138" s="43">
        <v>10000</v>
      </c>
      <c r="I138" s="43">
        <v>287</v>
      </c>
      <c r="J138" s="43">
        <v>0</v>
      </c>
      <c r="K138" s="43">
        <v>304</v>
      </c>
      <c r="L138" s="43">
        <v>0</v>
      </c>
      <c r="M138" s="44">
        <f t="shared" si="6"/>
        <v>591</v>
      </c>
      <c r="N138" s="44">
        <f t="shared" si="7"/>
        <v>9409</v>
      </c>
      <c r="O138" s="52" t="s">
        <v>19</v>
      </c>
    </row>
    <row r="139" spans="1:15" s="39" customFormat="1" x14ac:dyDescent="0.25">
      <c r="A139" s="12"/>
      <c r="B139" s="52">
        <f t="shared" si="8"/>
        <v>134</v>
      </c>
      <c r="C139" s="53" t="s">
        <v>187</v>
      </c>
      <c r="D139" s="54" t="s">
        <v>59</v>
      </c>
      <c r="E139" s="53" t="s">
        <v>25</v>
      </c>
      <c r="F139" s="54" t="s">
        <v>62</v>
      </c>
      <c r="G139" s="43">
        <v>15000</v>
      </c>
      <c r="H139" s="43">
        <v>15000</v>
      </c>
      <c r="I139" s="43">
        <v>430.5</v>
      </c>
      <c r="J139" s="43">
        <v>0</v>
      </c>
      <c r="K139" s="43">
        <v>456</v>
      </c>
      <c r="L139" s="43">
        <v>1746.67</v>
      </c>
      <c r="M139" s="44">
        <f t="shared" si="6"/>
        <v>2633.17</v>
      </c>
      <c r="N139" s="44">
        <f t="shared" si="7"/>
        <v>12366.83</v>
      </c>
      <c r="O139" s="52" t="s">
        <v>23</v>
      </c>
    </row>
    <row r="140" spans="1:15" s="39" customFormat="1" x14ac:dyDescent="0.25">
      <c r="A140" s="12"/>
      <c r="B140" s="52">
        <f t="shared" si="8"/>
        <v>135</v>
      </c>
      <c r="C140" s="53" t="s">
        <v>188</v>
      </c>
      <c r="D140" s="54" t="s">
        <v>59</v>
      </c>
      <c r="E140" s="53" t="s">
        <v>25</v>
      </c>
      <c r="F140" s="54" t="s">
        <v>62</v>
      </c>
      <c r="G140" s="43">
        <v>15000</v>
      </c>
      <c r="H140" s="43">
        <v>15000</v>
      </c>
      <c r="I140" s="43">
        <v>430.5</v>
      </c>
      <c r="J140" s="43">
        <v>0</v>
      </c>
      <c r="K140" s="43">
        <v>456</v>
      </c>
      <c r="L140" s="43">
        <v>9685.9500000000007</v>
      </c>
      <c r="M140" s="44">
        <v>9685.9500000000007</v>
      </c>
      <c r="N140" s="44">
        <f t="shared" si="7"/>
        <v>5314.0499999999993</v>
      </c>
      <c r="O140" s="52" t="s">
        <v>23</v>
      </c>
    </row>
    <row r="141" spans="1:15" s="39" customFormat="1" x14ac:dyDescent="0.25">
      <c r="A141" s="12"/>
      <c r="B141" s="52">
        <f t="shared" si="8"/>
        <v>136</v>
      </c>
      <c r="C141" s="53" t="s">
        <v>189</v>
      </c>
      <c r="D141" s="54" t="s">
        <v>59</v>
      </c>
      <c r="E141" s="53" t="s">
        <v>25</v>
      </c>
      <c r="F141" s="54" t="s">
        <v>62</v>
      </c>
      <c r="G141" s="43">
        <v>10000</v>
      </c>
      <c r="H141" s="43">
        <v>10000</v>
      </c>
      <c r="I141" s="43">
        <v>287</v>
      </c>
      <c r="J141" s="43">
        <v>0</v>
      </c>
      <c r="K141" s="43">
        <v>304</v>
      </c>
      <c r="L141" s="43">
        <v>31.21</v>
      </c>
      <c r="M141" s="44">
        <f t="shared" si="6"/>
        <v>622.21</v>
      </c>
      <c r="N141" s="44">
        <f t="shared" si="7"/>
        <v>9377.7900000000009</v>
      </c>
      <c r="O141" s="52" t="s">
        <v>23</v>
      </c>
    </row>
    <row r="142" spans="1:15" s="39" customFormat="1" x14ac:dyDescent="0.25">
      <c r="A142" s="12"/>
      <c r="B142" s="60">
        <f t="shared" si="8"/>
        <v>137</v>
      </c>
      <c r="C142" s="61" t="s">
        <v>190</v>
      </c>
      <c r="D142" s="62" t="s">
        <v>59</v>
      </c>
      <c r="E142" s="61" t="s">
        <v>25</v>
      </c>
      <c r="F142" s="62" t="s">
        <v>150</v>
      </c>
      <c r="G142" s="63">
        <v>20000</v>
      </c>
      <c r="H142" s="63">
        <v>20000</v>
      </c>
      <c r="I142" s="63">
        <v>574</v>
      </c>
      <c r="J142" s="63">
        <v>0</v>
      </c>
      <c r="K142" s="63">
        <v>608</v>
      </c>
      <c r="L142" s="63">
        <v>1031.21</v>
      </c>
      <c r="M142" s="64">
        <f t="shared" si="6"/>
        <v>2213.21</v>
      </c>
      <c r="N142" s="64">
        <f t="shared" si="7"/>
        <v>17786.79</v>
      </c>
      <c r="O142" s="60" t="s">
        <v>19</v>
      </c>
    </row>
    <row r="143" spans="1:15" s="39" customFormat="1" x14ac:dyDescent="0.25">
      <c r="A143" s="12"/>
      <c r="B143" s="52">
        <f t="shared" si="8"/>
        <v>138</v>
      </c>
      <c r="C143" s="53" t="s">
        <v>191</v>
      </c>
      <c r="D143" s="54" t="s">
        <v>59</v>
      </c>
      <c r="E143" s="53" t="s">
        <v>25</v>
      </c>
      <c r="F143" s="54" t="s">
        <v>62</v>
      </c>
      <c r="G143" s="43">
        <v>15000</v>
      </c>
      <c r="H143" s="43">
        <v>15000</v>
      </c>
      <c r="I143" s="43">
        <v>430.5</v>
      </c>
      <c r="J143" s="43">
        <v>0</v>
      </c>
      <c r="K143" s="43">
        <v>456</v>
      </c>
      <c r="L143" s="43">
        <v>31.21</v>
      </c>
      <c r="M143" s="44">
        <f t="shared" si="6"/>
        <v>917.71</v>
      </c>
      <c r="N143" s="44">
        <f t="shared" si="7"/>
        <v>14082.29</v>
      </c>
      <c r="O143" s="52" t="s">
        <v>23</v>
      </c>
    </row>
    <row r="144" spans="1:15" s="39" customFormat="1" x14ac:dyDescent="0.25">
      <c r="A144" s="12"/>
      <c r="B144" s="52">
        <f t="shared" si="8"/>
        <v>139</v>
      </c>
      <c r="C144" s="53" t="s">
        <v>192</v>
      </c>
      <c r="D144" s="54" t="s">
        <v>59</v>
      </c>
      <c r="E144" s="53" t="s">
        <v>25</v>
      </c>
      <c r="F144" s="54" t="s">
        <v>75</v>
      </c>
      <c r="G144" s="43">
        <v>12650</v>
      </c>
      <c r="H144" s="43">
        <v>12650</v>
      </c>
      <c r="I144" s="43">
        <v>363.06</v>
      </c>
      <c r="J144" s="43">
        <v>0</v>
      </c>
      <c r="K144" s="43">
        <v>384.56</v>
      </c>
      <c r="L144" s="43">
        <v>6068.58</v>
      </c>
      <c r="M144" s="44">
        <f t="shared" si="6"/>
        <v>6816.2</v>
      </c>
      <c r="N144" s="44">
        <f t="shared" si="7"/>
        <v>5833.8</v>
      </c>
      <c r="O144" s="52" t="s">
        <v>23</v>
      </c>
    </row>
    <row r="145" spans="1:15" s="39" customFormat="1" x14ac:dyDescent="0.25">
      <c r="A145" s="12"/>
      <c r="B145" s="52">
        <f t="shared" si="8"/>
        <v>140</v>
      </c>
      <c r="C145" s="53" t="s">
        <v>193</v>
      </c>
      <c r="D145" s="54" t="s">
        <v>59</v>
      </c>
      <c r="E145" s="53" t="s">
        <v>25</v>
      </c>
      <c r="F145" s="54" t="s">
        <v>106</v>
      </c>
      <c r="G145" s="43">
        <v>13000</v>
      </c>
      <c r="H145" s="43">
        <v>13000</v>
      </c>
      <c r="I145" s="43">
        <v>373.1</v>
      </c>
      <c r="J145" s="43">
        <v>0</v>
      </c>
      <c r="K145" s="43">
        <v>395.2</v>
      </c>
      <c r="L145" s="43">
        <v>0</v>
      </c>
      <c r="M145" s="44">
        <f t="shared" si="6"/>
        <v>768.3</v>
      </c>
      <c r="N145" s="44">
        <f t="shared" si="7"/>
        <v>12231.7</v>
      </c>
      <c r="O145" s="52" t="s">
        <v>19</v>
      </c>
    </row>
    <row r="146" spans="1:15" s="39" customFormat="1" ht="18.75" customHeight="1" x14ac:dyDescent="0.25">
      <c r="A146" s="12"/>
      <c r="B146" s="52">
        <f t="shared" si="8"/>
        <v>141</v>
      </c>
      <c r="C146" s="53" t="s">
        <v>194</v>
      </c>
      <c r="D146" s="54" t="s">
        <v>59</v>
      </c>
      <c r="E146" s="53" t="s">
        <v>25</v>
      </c>
      <c r="F146" s="54" t="s">
        <v>28</v>
      </c>
      <c r="G146" s="43">
        <v>16458.2</v>
      </c>
      <c r="H146" s="43">
        <v>16458.2</v>
      </c>
      <c r="I146" s="43">
        <v>472.35</v>
      </c>
      <c r="J146" s="43">
        <v>0</v>
      </c>
      <c r="K146" s="43">
        <v>500.33</v>
      </c>
      <c r="L146" s="43">
        <v>4546.26</v>
      </c>
      <c r="M146" s="44">
        <f>+L146+K146+J146+I146</f>
        <v>5518.9400000000005</v>
      </c>
      <c r="N146" s="44">
        <f>+G146-M146</f>
        <v>10939.26</v>
      </c>
      <c r="O146" s="52" t="s">
        <v>23</v>
      </c>
    </row>
    <row r="147" spans="1:15" s="39" customFormat="1" ht="18" customHeight="1" x14ac:dyDescent="0.25">
      <c r="A147" s="12"/>
      <c r="B147" s="60">
        <f t="shared" si="8"/>
        <v>142</v>
      </c>
      <c r="C147" s="61" t="s">
        <v>195</v>
      </c>
      <c r="D147" s="62" t="s">
        <v>59</v>
      </c>
      <c r="E147" s="61" t="s">
        <v>25</v>
      </c>
      <c r="F147" s="62" t="s">
        <v>62</v>
      </c>
      <c r="G147" s="63">
        <v>15000</v>
      </c>
      <c r="H147" s="63">
        <v>15000</v>
      </c>
      <c r="I147" s="63">
        <v>430.5</v>
      </c>
      <c r="J147" s="63">
        <v>0</v>
      </c>
      <c r="K147" s="63">
        <v>456</v>
      </c>
      <c r="L147" s="63">
        <v>6842.67</v>
      </c>
      <c r="M147" s="64">
        <f t="shared" si="6"/>
        <v>7729.17</v>
      </c>
      <c r="N147" s="64">
        <f t="shared" si="7"/>
        <v>7270.83</v>
      </c>
      <c r="O147" s="60" t="s">
        <v>23</v>
      </c>
    </row>
    <row r="148" spans="1:15" s="39" customFormat="1" ht="19.5" customHeight="1" x14ac:dyDescent="0.25">
      <c r="A148" s="12"/>
      <c r="B148" s="52">
        <f t="shared" si="8"/>
        <v>143</v>
      </c>
      <c r="C148" s="53" t="s">
        <v>196</v>
      </c>
      <c r="D148" s="54" t="s">
        <v>59</v>
      </c>
      <c r="E148" s="53" t="s">
        <v>25</v>
      </c>
      <c r="F148" s="54" t="s">
        <v>62</v>
      </c>
      <c r="G148" s="43">
        <v>15000</v>
      </c>
      <c r="H148" s="43">
        <v>15000</v>
      </c>
      <c r="I148" s="43">
        <v>430.5</v>
      </c>
      <c r="J148" s="43">
        <v>0</v>
      </c>
      <c r="K148" s="43">
        <v>456</v>
      </c>
      <c r="L148" s="43">
        <v>31.21</v>
      </c>
      <c r="M148" s="44">
        <f t="shared" si="6"/>
        <v>917.71</v>
      </c>
      <c r="N148" s="44">
        <f t="shared" si="7"/>
        <v>14082.29</v>
      </c>
      <c r="O148" s="52" t="s">
        <v>23</v>
      </c>
    </row>
    <row r="149" spans="1:15" s="39" customFormat="1" ht="19.5" customHeight="1" x14ac:dyDescent="0.25">
      <c r="A149" s="12"/>
      <c r="B149" s="52">
        <f t="shared" si="8"/>
        <v>144</v>
      </c>
      <c r="C149" s="53" t="s">
        <v>197</v>
      </c>
      <c r="D149" s="54" t="s">
        <v>59</v>
      </c>
      <c r="E149" s="53" t="s">
        <v>25</v>
      </c>
      <c r="F149" s="54" t="s">
        <v>106</v>
      </c>
      <c r="G149" s="43">
        <v>13000</v>
      </c>
      <c r="H149" s="43">
        <v>13000</v>
      </c>
      <c r="I149" s="43">
        <v>373.1</v>
      </c>
      <c r="J149" s="43">
        <v>0</v>
      </c>
      <c r="K149" s="43">
        <v>395.2</v>
      </c>
      <c r="L149" s="43">
        <v>31.21</v>
      </c>
      <c r="M149" s="44">
        <f t="shared" si="6"/>
        <v>799.51</v>
      </c>
      <c r="N149" s="44">
        <f t="shared" si="7"/>
        <v>12200.49</v>
      </c>
      <c r="O149" s="52" t="s">
        <v>19</v>
      </c>
    </row>
    <row r="150" spans="1:15" s="39" customFormat="1" x14ac:dyDescent="0.25">
      <c r="A150" s="12"/>
      <c r="B150" s="52">
        <f t="shared" si="8"/>
        <v>145</v>
      </c>
      <c r="C150" s="53" t="s">
        <v>198</v>
      </c>
      <c r="D150" s="54" t="s">
        <v>59</v>
      </c>
      <c r="E150" s="53" t="s">
        <v>25</v>
      </c>
      <c r="F150" s="54" t="s">
        <v>150</v>
      </c>
      <c r="G150" s="43">
        <v>18000</v>
      </c>
      <c r="H150" s="43">
        <v>18000</v>
      </c>
      <c r="I150" s="43">
        <v>516.6</v>
      </c>
      <c r="J150" s="43">
        <v>0</v>
      </c>
      <c r="K150" s="43">
        <v>547.20000000000005</v>
      </c>
      <c r="L150" s="43">
        <v>31.21</v>
      </c>
      <c r="M150" s="44">
        <f t="shared" si="6"/>
        <v>1095.0100000000002</v>
      </c>
      <c r="N150" s="44">
        <f t="shared" si="7"/>
        <v>16904.989999999998</v>
      </c>
      <c r="O150" s="52" t="s">
        <v>19</v>
      </c>
    </row>
    <row r="151" spans="1:15" s="39" customFormat="1" x14ac:dyDescent="0.25">
      <c r="A151" s="12"/>
      <c r="B151" s="52">
        <f t="shared" si="8"/>
        <v>146</v>
      </c>
      <c r="C151" s="53" t="s">
        <v>199</v>
      </c>
      <c r="D151" s="54" t="s">
        <v>59</v>
      </c>
      <c r="E151" s="53" t="s">
        <v>25</v>
      </c>
      <c r="F151" s="54" t="s">
        <v>62</v>
      </c>
      <c r="G151" s="43">
        <v>15000</v>
      </c>
      <c r="H151" s="43">
        <v>15000</v>
      </c>
      <c r="I151" s="43">
        <v>430.5</v>
      </c>
      <c r="J151" s="43">
        <v>0</v>
      </c>
      <c r="K151" s="43">
        <v>456</v>
      </c>
      <c r="L151" s="43">
        <f>31.21+1000</f>
        <v>1031.21</v>
      </c>
      <c r="M151" s="44">
        <f t="shared" si="6"/>
        <v>1917.71</v>
      </c>
      <c r="N151" s="44">
        <f t="shared" si="7"/>
        <v>13082.29</v>
      </c>
      <c r="O151" s="52" t="s">
        <v>23</v>
      </c>
    </row>
    <row r="152" spans="1:15" s="39" customFormat="1" ht="15" customHeight="1" x14ac:dyDescent="0.25">
      <c r="A152" s="12"/>
      <c r="B152" s="52">
        <f t="shared" si="8"/>
        <v>147</v>
      </c>
      <c r="C152" s="53" t="s">
        <v>200</v>
      </c>
      <c r="D152" s="54" t="s">
        <v>59</v>
      </c>
      <c r="E152" s="53" t="s">
        <v>25</v>
      </c>
      <c r="F152" s="54" t="s">
        <v>201</v>
      </c>
      <c r="G152" s="43">
        <v>15000</v>
      </c>
      <c r="H152" s="43">
        <v>15000</v>
      </c>
      <c r="I152" s="43">
        <v>430.5</v>
      </c>
      <c r="J152" s="43">
        <v>0</v>
      </c>
      <c r="K152" s="43">
        <v>456</v>
      </c>
      <c r="L152" s="43">
        <v>31.21</v>
      </c>
      <c r="M152" s="44">
        <f t="shared" si="6"/>
        <v>917.71</v>
      </c>
      <c r="N152" s="44">
        <f t="shared" si="7"/>
        <v>14082.29</v>
      </c>
      <c r="O152" s="52" t="s">
        <v>19</v>
      </c>
    </row>
    <row r="153" spans="1:15" s="39" customFormat="1" x14ac:dyDescent="0.25">
      <c r="A153" s="12"/>
      <c r="B153" s="52">
        <f t="shared" si="8"/>
        <v>148</v>
      </c>
      <c r="C153" s="53" t="s">
        <v>202</v>
      </c>
      <c r="D153" s="54" t="s">
        <v>59</v>
      </c>
      <c r="E153" s="53" t="s">
        <v>25</v>
      </c>
      <c r="F153" s="54" t="s">
        <v>69</v>
      </c>
      <c r="G153" s="43">
        <v>23000</v>
      </c>
      <c r="H153" s="43">
        <v>23000</v>
      </c>
      <c r="I153" s="43">
        <v>660.1</v>
      </c>
      <c r="J153" s="43">
        <v>0</v>
      </c>
      <c r="K153" s="43">
        <v>699.2</v>
      </c>
      <c r="L153" s="43">
        <v>10585.74</v>
      </c>
      <c r="M153" s="44">
        <f t="shared" si="6"/>
        <v>11945.04</v>
      </c>
      <c r="N153" s="44">
        <f t="shared" si="7"/>
        <v>11054.96</v>
      </c>
      <c r="O153" s="52" t="s">
        <v>23</v>
      </c>
    </row>
    <row r="154" spans="1:15" s="39" customFormat="1" ht="19.5" customHeight="1" x14ac:dyDescent="0.25">
      <c r="A154" s="12"/>
      <c r="B154" s="52">
        <f t="shared" si="8"/>
        <v>149</v>
      </c>
      <c r="C154" s="53" t="s">
        <v>203</v>
      </c>
      <c r="D154" s="54" t="s">
        <v>59</v>
      </c>
      <c r="E154" s="53" t="s">
        <v>21</v>
      </c>
      <c r="F154" s="54" t="s">
        <v>204</v>
      </c>
      <c r="G154" s="43">
        <v>39500</v>
      </c>
      <c r="H154" s="43">
        <v>39500</v>
      </c>
      <c r="I154" s="43">
        <v>1133.6500000000001</v>
      </c>
      <c r="J154" s="43">
        <v>114.76</v>
      </c>
      <c r="K154" s="43">
        <v>1200.8</v>
      </c>
      <c r="L154" s="43">
        <v>1715.46</v>
      </c>
      <c r="M154" s="44">
        <f t="shared" si="6"/>
        <v>4164.67</v>
      </c>
      <c r="N154" s="44">
        <f t="shared" si="7"/>
        <v>35335.33</v>
      </c>
      <c r="O154" s="52" t="s">
        <v>23</v>
      </c>
    </row>
    <row r="155" spans="1:15" s="39" customFormat="1" x14ac:dyDescent="0.25">
      <c r="A155" s="12"/>
      <c r="B155" s="52">
        <f t="shared" si="8"/>
        <v>150</v>
      </c>
      <c r="C155" s="53" t="s">
        <v>205</v>
      </c>
      <c r="D155" s="54" t="s">
        <v>59</v>
      </c>
      <c r="E155" s="53" t="s">
        <v>25</v>
      </c>
      <c r="F155" s="54" t="s">
        <v>106</v>
      </c>
      <c r="G155" s="43">
        <v>13000</v>
      </c>
      <c r="H155" s="43">
        <v>13000</v>
      </c>
      <c r="I155" s="43">
        <v>373.1</v>
      </c>
      <c r="J155" s="43">
        <v>0</v>
      </c>
      <c r="K155" s="43">
        <v>395.2</v>
      </c>
      <c r="L155" s="43">
        <v>0</v>
      </c>
      <c r="M155" s="44">
        <f t="shared" si="6"/>
        <v>768.3</v>
      </c>
      <c r="N155" s="44">
        <f t="shared" si="7"/>
        <v>12231.7</v>
      </c>
      <c r="O155" s="52" t="s">
        <v>19</v>
      </c>
    </row>
    <row r="156" spans="1:15" s="39" customFormat="1" x14ac:dyDescent="0.25">
      <c r="A156" s="12"/>
      <c r="B156" s="52">
        <f t="shared" si="8"/>
        <v>151</v>
      </c>
      <c r="C156" s="53" t="s">
        <v>206</v>
      </c>
      <c r="D156" s="54" t="s">
        <v>59</v>
      </c>
      <c r="E156" s="53" t="s">
        <v>25</v>
      </c>
      <c r="F156" s="54" t="s">
        <v>66</v>
      </c>
      <c r="G156" s="43">
        <v>10000</v>
      </c>
      <c r="H156" s="43">
        <v>10000</v>
      </c>
      <c r="I156" s="43">
        <v>287</v>
      </c>
      <c r="J156" s="43">
        <v>0</v>
      </c>
      <c r="K156" s="43">
        <v>304</v>
      </c>
      <c r="L156" s="43">
        <v>0</v>
      </c>
      <c r="M156" s="44">
        <f t="shared" si="6"/>
        <v>591</v>
      </c>
      <c r="N156" s="44">
        <f t="shared" si="7"/>
        <v>9409</v>
      </c>
      <c r="O156" s="52" t="s">
        <v>19</v>
      </c>
    </row>
    <row r="157" spans="1:15" s="39" customFormat="1" x14ac:dyDescent="0.25">
      <c r="A157" s="12"/>
      <c r="B157" s="52">
        <f t="shared" si="8"/>
        <v>152</v>
      </c>
      <c r="C157" s="53" t="s">
        <v>207</v>
      </c>
      <c r="D157" s="54" t="s">
        <v>59</v>
      </c>
      <c r="E157" s="53" t="s">
        <v>25</v>
      </c>
      <c r="F157" s="54" t="s">
        <v>146</v>
      </c>
      <c r="G157" s="43">
        <v>13500</v>
      </c>
      <c r="H157" s="43">
        <v>13500</v>
      </c>
      <c r="I157" s="43">
        <v>387.45</v>
      </c>
      <c r="J157" s="43">
        <v>0</v>
      </c>
      <c r="K157" s="43">
        <v>410.4</v>
      </c>
      <c r="L157" s="43">
        <v>961.21</v>
      </c>
      <c r="M157" s="44">
        <f t="shared" si="6"/>
        <v>1759.06</v>
      </c>
      <c r="N157" s="44">
        <f t="shared" si="7"/>
        <v>11740.94</v>
      </c>
      <c r="O157" s="52" t="s">
        <v>19</v>
      </c>
    </row>
    <row r="158" spans="1:15" s="39" customFormat="1" x14ac:dyDescent="0.25">
      <c r="A158" s="12"/>
      <c r="B158" s="52">
        <f t="shared" si="8"/>
        <v>153</v>
      </c>
      <c r="C158" s="53" t="s">
        <v>208</v>
      </c>
      <c r="D158" s="54" t="s">
        <v>59</v>
      </c>
      <c r="E158" s="53" t="s">
        <v>25</v>
      </c>
      <c r="F158" s="54" t="s">
        <v>28</v>
      </c>
      <c r="G158" s="43">
        <v>22000</v>
      </c>
      <c r="H158" s="43">
        <v>22000</v>
      </c>
      <c r="I158" s="43">
        <v>631.4</v>
      </c>
      <c r="J158" s="43">
        <v>0</v>
      </c>
      <c r="K158" s="43">
        <v>668.8</v>
      </c>
      <c r="L158" s="43">
        <f>31.21+500</f>
        <v>531.21</v>
      </c>
      <c r="M158" s="44">
        <f t="shared" si="6"/>
        <v>1831.4099999999999</v>
      </c>
      <c r="N158" s="44">
        <f t="shared" si="7"/>
        <v>20168.59</v>
      </c>
      <c r="O158" s="52" t="s">
        <v>23</v>
      </c>
    </row>
    <row r="159" spans="1:15" s="39" customFormat="1" x14ac:dyDescent="0.25">
      <c r="A159" s="12"/>
      <c r="B159" s="52">
        <f t="shared" si="8"/>
        <v>154</v>
      </c>
      <c r="C159" s="53" t="s">
        <v>209</v>
      </c>
      <c r="D159" s="54" t="s">
        <v>59</v>
      </c>
      <c r="E159" s="53" t="s">
        <v>25</v>
      </c>
      <c r="F159" s="54" t="s">
        <v>28</v>
      </c>
      <c r="G159" s="43">
        <v>20000</v>
      </c>
      <c r="H159" s="43">
        <v>20000</v>
      </c>
      <c r="I159" s="43">
        <v>574</v>
      </c>
      <c r="J159" s="43">
        <v>0</v>
      </c>
      <c r="K159" s="43">
        <v>608</v>
      </c>
      <c r="L159" s="43">
        <v>31.21</v>
      </c>
      <c r="M159" s="44">
        <f t="shared" si="6"/>
        <v>1213.21</v>
      </c>
      <c r="N159" s="44">
        <f t="shared" si="7"/>
        <v>18786.79</v>
      </c>
      <c r="O159" s="52" t="s">
        <v>23</v>
      </c>
    </row>
    <row r="160" spans="1:15" s="39" customFormat="1" x14ac:dyDescent="0.25">
      <c r="A160" s="12"/>
      <c r="B160" s="52">
        <f t="shared" si="8"/>
        <v>155</v>
      </c>
      <c r="C160" s="53" t="s">
        <v>210</v>
      </c>
      <c r="D160" s="54" t="s">
        <v>59</v>
      </c>
      <c r="E160" s="53" t="s">
        <v>25</v>
      </c>
      <c r="F160" s="54" t="s">
        <v>150</v>
      </c>
      <c r="G160" s="43">
        <v>20000</v>
      </c>
      <c r="H160" s="43">
        <v>20000</v>
      </c>
      <c r="I160" s="43">
        <v>574</v>
      </c>
      <c r="J160" s="43">
        <v>0</v>
      </c>
      <c r="K160" s="43">
        <v>608</v>
      </c>
      <c r="L160" s="43">
        <v>1027.21</v>
      </c>
      <c r="M160" s="44">
        <f t="shared" si="6"/>
        <v>2209.21</v>
      </c>
      <c r="N160" s="44">
        <f t="shared" si="7"/>
        <v>17790.79</v>
      </c>
      <c r="O160" s="52" t="s">
        <v>19</v>
      </c>
    </row>
    <row r="161" spans="1:15" s="39" customFormat="1" x14ac:dyDescent="0.25">
      <c r="A161" s="12"/>
      <c r="B161" s="52">
        <f t="shared" si="8"/>
        <v>156</v>
      </c>
      <c r="C161" s="53" t="s">
        <v>211</v>
      </c>
      <c r="D161" s="54" t="s">
        <v>59</v>
      </c>
      <c r="E161" s="53" t="s">
        <v>25</v>
      </c>
      <c r="F161" s="54" t="s">
        <v>62</v>
      </c>
      <c r="G161" s="43">
        <v>15000</v>
      </c>
      <c r="H161" s="43">
        <v>15000</v>
      </c>
      <c r="I161" s="43">
        <v>430.5</v>
      </c>
      <c r="J161" s="43">
        <v>0</v>
      </c>
      <c r="K161" s="43">
        <v>456</v>
      </c>
      <c r="L161" s="43">
        <v>0</v>
      </c>
      <c r="M161" s="44">
        <f t="shared" si="6"/>
        <v>886.5</v>
      </c>
      <c r="N161" s="44">
        <f t="shared" si="7"/>
        <v>14113.5</v>
      </c>
      <c r="O161" s="52" t="s">
        <v>23</v>
      </c>
    </row>
    <row r="162" spans="1:15" s="39" customFormat="1" x14ac:dyDescent="0.25">
      <c r="A162" s="12"/>
      <c r="B162" s="52">
        <f t="shared" si="8"/>
        <v>157</v>
      </c>
      <c r="C162" s="53" t="s">
        <v>212</v>
      </c>
      <c r="D162" s="54" t="s">
        <v>59</v>
      </c>
      <c r="E162" s="53" t="s">
        <v>25</v>
      </c>
      <c r="F162" s="54" t="s">
        <v>146</v>
      </c>
      <c r="G162" s="43">
        <v>15000</v>
      </c>
      <c r="H162" s="43">
        <v>15000</v>
      </c>
      <c r="I162" s="43">
        <v>430.5</v>
      </c>
      <c r="J162" s="43">
        <v>0</v>
      </c>
      <c r="K162" s="43">
        <v>456</v>
      </c>
      <c r="L162" s="43">
        <v>0</v>
      </c>
      <c r="M162" s="44">
        <f t="shared" si="6"/>
        <v>886.5</v>
      </c>
      <c r="N162" s="44">
        <f t="shared" si="7"/>
        <v>14113.5</v>
      </c>
      <c r="O162" s="52" t="s">
        <v>19</v>
      </c>
    </row>
    <row r="163" spans="1:15" s="39" customFormat="1" x14ac:dyDescent="0.25">
      <c r="A163" s="12"/>
      <c r="B163" s="52">
        <f t="shared" si="8"/>
        <v>158</v>
      </c>
      <c r="C163" s="53" t="s">
        <v>213</v>
      </c>
      <c r="D163" s="54" t="s">
        <v>59</v>
      </c>
      <c r="E163" s="53" t="s">
        <v>25</v>
      </c>
      <c r="F163" s="54" t="s">
        <v>62</v>
      </c>
      <c r="G163" s="43">
        <v>15000</v>
      </c>
      <c r="H163" s="43">
        <v>15000</v>
      </c>
      <c r="I163" s="43">
        <v>430.5</v>
      </c>
      <c r="J163" s="43">
        <v>0</v>
      </c>
      <c r="K163" s="43">
        <v>456</v>
      </c>
      <c r="L163" s="43">
        <v>0</v>
      </c>
      <c r="M163" s="44">
        <f t="shared" si="6"/>
        <v>886.5</v>
      </c>
      <c r="N163" s="44">
        <f t="shared" si="7"/>
        <v>14113.5</v>
      </c>
      <c r="O163" s="52" t="s">
        <v>23</v>
      </c>
    </row>
    <row r="164" spans="1:15" s="39" customFormat="1" x14ac:dyDescent="0.25">
      <c r="A164" s="12"/>
      <c r="B164" s="52">
        <f t="shared" si="8"/>
        <v>159</v>
      </c>
      <c r="C164" s="53" t="s">
        <v>214</v>
      </c>
      <c r="D164" s="54" t="s">
        <v>59</v>
      </c>
      <c r="E164" s="53" t="s">
        <v>25</v>
      </c>
      <c r="F164" s="54" t="s">
        <v>62</v>
      </c>
      <c r="G164" s="43">
        <v>15000</v>
      </c>
      <c r="H164" s="43">
        <v>15000</v>
      </c>
      <c r="I164" s="43">
        <v>430.5</v>
      </c>
      <c r="J164" s="43">
        <v>0</v>
      </c>
      <c r="K164" s="43">
        <v>456</v>
      </c>
      <c r="L164" s="43">
        <v>0</v>
      </c>
      <c r="M164" s="44">
        <f t="shared" si="6"/>
        <v>886.5</v>
      </c>
      <c r="N164" s="44">
        <f t="shared" si="7"/>
        <v>14113.5</v>
      </c>
      <c r="O164" s="52" t="s">
        <v>23</v>
      </c>
    </row>
    <row r="165" spans="1:15" s="39" customFormat="1" x14ac:dyDescent="0.25">
      <c r="A165" s="12"/>
      <c r="B165" s="52">
        <f t="shared" si="8"/>
        <v>160</v>
      </c>
      <c r="C165" s="53" t="s">
        <v>215</v>
      </c>
      <c r="D165" s="54" t="s">
        <v>59</v>
      </c>
      <c r="E165" s="53" t="s">
        <v>25</v>
      </c>
      <c r="F165" s="54" t="s">
        <v>45</v>
      </c>
      <c r="G165" s="43">
        <v>30000</v>
      </c>
      <c r="H165" s="43">
        <v>30000</v>
      </c>
      <c r="I165" s="43">
        <v>861</v>
      </c>
      <c r="J165" s="43">
        <v>0</v>
      </c>
      <c r="K165" s="43">
        <v>912</v>
      </c>
      <c r="L165" s="43">
        <f>1000+2514.26</f>
        <v>3514.26</v>
      </c>
      <c r="M165" s="44">
        <f t="shared" si="6"/>
        <v>5287.26</v>
      </c>
      <c r="N165" s="44">
        <f t="shared" si="7"/>
        <v>24712.739999999998</v>
      </c>
      <c r="O165" s="52" t="s">
        <v>23</v>
      </c>
    </row>
    <row r="166" spans="1:15" s="39" customFormat="1" x14ac:dyDescent="0.25">
      <c r="A166" s="12"/>
      <c r="B166" s="52">
        <f t="shared" si="8"/>
        <v>161</v>
      </c>
      <c r="C166" s="53" t="s">
        <v>216</v>
      </c>
      <c r="D166" s="54" t="s">
        <v>59</v>
      </c>
      <c r="E166" s="53" t="s">
        <v>25</v>
      </c>
      <c r="F166" s="54" t="s">
        <v>69</v>
      </c>
      <c r="G166" s="43">
        <v>18500</v>
      </c>
      <c r="H166" s="43">
        <v>18500</v>
      </c>
      <c r="I166" s="43">
        <v>530.95000000000005</v>
      </c>
      <c r="J166" s="43">
        <v>0</v>
      </c>
      <c r="K166" s="43">
        <v>562.4</v>
      </c>
      <c r="L166" s="43">
        <v>1000</v>
      </c>
      <c r="M166" s="44">
        <f t="shared" si="6"/>
        <v>2093.35</v>
      </c>
      <c r="N166" s="44">
        <f t="shared" si="7"/>
        <v>16406.650000000001</v>
      </c>
      <c r="O166" s="52" t="s">
        <v>23</v>
      </c>
    </row>
    <row r="167" spans="1:15" s="39" customFormat="1" x14ac:dyDescent="0.25">
      <c r="A167" s="12"/>
      <c r="B167" s="52">
        <f t="shared" si="8"/>
        <v>162</v>
      </c>
      <c r="C167" s="53" t="s">
        <v>217</v>
      </c>
      <c r="D167" s="54" t="s">
        <v>59</v>
      </c>
      <c r="E167" s="53" t="s">
        <v>25</v>
      </c>
      <c r="F167" s="54" t="s">
        <v>66</v>
      </c>
      <c r="G167" s="43">
        <v>20000</v>
      </c>
      <c r="H167" s="43">
        <v>20000</v>
      </c>
      <c r="I167" s="43">
        <v>574</v>
      </c>
      <c r="J167" s="43">
        <v>0</v>
      </c>
      <c r="K167" s="43">
        <v>608</v>
      </c>
      <c r="L167" s="43">
        <v>0</v>
      </c>
      <c r="M167" s="44">
        <f t="shared" si="6"/>
        <v>1182</v>
      </c>
      <c r="N167" s="44">
        <f t="shared" si="7"/>
        <v>18818</v>
      </c>
      <c r="O167" s="52" t="s">
        <v>19</v>
      </c>
    </row>
    <row r="168" spans="1:15" s="39" customFormat="1" x14ac:dyDescent="0.25">
      <c r="A168" s="37"/>
      <c r="B168" s="52">
        <f t="shared" si="8"/>
        <v>163</v>
      </c>
      <c r="C168" s="53" t="s">
        <v>218</v>
      </c>
      <c r="D168" s="54" t="s">
        <v>59</v>
      </c>
      <c r="E168" s="53" t="s">
        <v>25</v>
      </c>
      <c r="F168" s="54" t="s">
        <v>106</v>
      </c>
      <c r="G168" s="43">
        <v>13000</v>
      </c>
      <c r="H168" s="43">
        <v>13000</v>
      </c>
      <c r="I168" s="43">
        <v>373.1</v>
      </c>
      <c r="J168" s="43">
        <v>0</v>
      </c>
      <c r="K168" s="43">
        <v>395.2</v>
      </c>
      <c r="L168" s="43">
        <v>0</v>
      </c>
      <c r="M168" s="44">
        <f t="shared" si="6"/>
        <v>768.3</v>
      </c>
      <c r="N168" s="44">
        <f t="shared" si="7"/>
        <v>12231.7</v>
      </c>
      <c r="O168" s="52" t="s">
        <v>19</v>
      </c>
    </row>
    <row r="169" spans="1:15" s="39" customFormat="1" x14ac:dyDescent="0.25">
      <c r="A169" s="12"/>
      <c r="B169" s="52">
        <f t="shared" si="8"/>
        <v>164</v>
      </c>
      <c r="C169" s="53" t="s">
        <v>219</v>
      </c>
      <c r="D169" s="54" t="s">
        <v>59</v>
      </c>
      <c r="E169" s="53" t="s">
        <v>25</v>
      </c>
      <c r="F169" s="54" t="s">
        <v>220</v>
      </c>
      <c r="G169" s="43">
        <v>10000</v>
      </c>
      <c r="H169" s="43">
        <v>10000</v>
      </c>
      <c r="I169" s="43">
        <v>287</v>
      </c>
      <c r="J169" s="43">
        <v>0</v>
      </c>
      <c r="K169" s="43">
        <v>304</v>
      </c>
      <c r="L169" s="43">
        <v>0</v>
      </c>
      <c r="M169" s="44">
        <f t="shared" si="6"/>
        <v>591</v>
      </c>
      <c r="N169" s="44">
        <f t="shared" si="7"/>
        <v>9409</v>
      </c>
      <c r="O169" s="52" t="s">
        <v>19</v>
      </c>
    </row>
    <row r="170" spans="1:15" s="39" customFormat="1" x14ac:dyDescent="0.25">
      <c r="A170" s="12"/>
      <c r="B170" s="52">
        <f t="shared" si="8"/>
        <v>165</v>
      </c>
      <c r="C170" s="53" t="s">
        <v>221</v>
      </c>
      <c r="D170" s="54" t="s">
        <v>59</v>
      </c>
      <c r="E170" s="53" t="s">
        <v>25</v>
      </c>
      <c r="F170" s="54" t="s">
        <v>62</v>
      </c>
      <c r="G170" s="43">
        <v>10000</v>
      </c>
      <c r="H170" s="43">
        <v>10000</v>
      </c>
      <c r="I170" s="43">
        <v>287</v>
      </c>
      <c r="J170" s="43">
        <v>0</v>
      </c>
      <c r="K170" s="43">
        <v>304</v>
      </c>
      <c r="L170" s="43">
        <v>2000</v>
      </c>
      <c r="M170" s="44">
        <f t="shared" si="6"/>
        <v>2591</v>
      </c>
      <c r="N170" s="44">
        <f t="shared" si="7"/>
        <v>7409</v>
      </c>
      <c r="O170" s="52" t="s">
        <v>23</v>
      </c>
    </row>
    <row r="171" spans="1:15" s="39" customFormat="1" x14ac:dyDescent="0.25">
      <c r="A171" s="12"/>
      <c r="B171" s="52">
        <f t="shared" si="8"/>
        <v>166</v>
      </c>
      <c r="C171" s="53" t="s">
        <v>222</v>
      </c>
      <c r="D171" s="54" t="s">
        <v>59</v>
      </c>
      <c r="E171" s="53" t="s">
        <v>25</v>
      </c>
      <c r="F171" s="54" t="s">
        <v>106</v>
      </c>
      <c r="G171" s="43">
        <v>13000</v>
      </c>
      <c r="H171" s="43">
        <v>13000</v>
      </c>
      <c r="I171" s="43">
        <v>373.1</v>
      </c>
      <c r="J171" s="43">
        <v>0</v>
      </c>
      <c r="K171" s="43">
        <v>395.2</v>
      </c>
      <c r="L171" s="43">
        <v>0</v>
      </c>
      <c r="M171" s="44">
        <f t="shared" si="6"/>
        <v>768.3</v>
      </c>
      <c r="N171" s="44">
        <f t="shared" si="7"/>
        <v>12231.7</v>
      </c>
      <c r="O171" s="52" t="s">
        <v>19</v>
      </c>
    </row>
    <row r="172" spans="1:15" s="39" customFormat="1" x14ac:dyDescent="0.25">
      <c r="A172" s="12"/>
      <c r="B172" s="52">
        <f t="shared" si="8"/>
        <v>167</v>
      </c>
      <c r="C172" s="53" t="s">
        <v>223</v>
      </c>
      <c r="D172" s="54" t="s">
        <v>59</v>
      </c>
      <c r="E172" s="53" t="s">
        <v>25</v>
      </c>
      <c r="F172" s="54" t="s">
        <v>150</v>
      </c>
      <c r="G172" s="43">
        <v>20000</v>
      </c>
      <c r="H172" s="43">
        <v>20000</v>
      </c>
      <c r="I172" s="43">
        <v>574</v>
      </c>
      <c r="J172" s="43">
        <v>0</v>
      </c>
      <c r="K172" s="43">
        <v>608</v>
      </c>
      <c r="L172" s="43">
        <f>31.21+2000+4218.84+2637.48</f>
        <v>8887.5300000000007</v>
      </c>
      <c r="M172" s="44">
        <f t="shared" si="6"/>
        <v>10069.530000000001</v>
      </c>
      <c r="N172" s="44">
        <f t="shared" si="7"/>
        <v>9930.4699999999993</v>
      </c>
      <c r="O172" s="52" t="s">
        <v>19</v>
      </c>
    </row>
    <row r="173" spans="1:15" s="39" customFormat="1" x14ac:dyDescent="0.25">
      <c r="A173" s="12"/>
      <c r="B173" s="52">
        <f t="shared" si="8"/>
        <v>168</v>
      </c>
      <c r="C173" s="53" t="s">
        <v>224</v>
      </c>
      <c r="D173" s="54" t="s">
        <v>59</v>
      </c>
      <c r="E173" s="53" t="s">
        <v>25</v>
      </c>
      <c r="F173" s="54" t="s">
        <v>150</v>
      </c>
      <c r="G173" s="43">
        <v>20000</v>
      </c>
      <c r="H173" s="43">
        <v>20000</v>
      </c>
      <c r="I173" s="43">
        <v>574</v>
      </c>
      <c r="J173" s="43">
        <v>0</v>
      </c>
      <c r="K173" s="43">
        <v>608</v>
      </c>
      <c r="L173" s="43">
        <f>2000+2937.79+2637.48</f>
        <v>7575.27</v>
      </c>
      <c r="M173" s="44">
        <f t="shared" si="6"/>
        <v>8757.27</v>
      </c>
      <c r="N173" s="44">
        <f t="shared" si="7"/>
        <v>11242.73</v>
      </c>
      <c r="O173" s="52" t="s">
        <v>19</v>
      </c>
    </row>
    <row r="174" spans="1:15" s="39" customFormat="1" x14ac:dyDescent="0.25">
      <c r="A174" s="12"/>
      <c r="B174" s="52">
        <f t="shared" si="8"/>
        <v>169</v>
      </c>
      <c r="C174" s="53" t="s">
        <v>225</v>
      </c>
      <c r="D174" s="54" t="s">
        <v>59</v>
      </c>
      <c r="E174" s="53" t="s">
        <v>25</v>
      </c>
      <c r="F174" s="54" t="s">
        <v>45</v>
      </c>
      <c r="G174" s="43">
        <v>25000</v>
      </c>
      <c r="H174" s="43">
        <v>25000</v>
      </c>
      <c r="I174" s="43">
        <v>717.5</v>
      </c>
      <c r="J174" s="43">
        <v>0</v>
      </c>
      <c r="K174" s="43">
        <v>760</v>
      </c>
      <c r="L174" s="43">
        <v>0</v>
      </c>
      <c r="M174" s="44">
        <f t="shared" si="6"/>
        <v>1477.5</v>
      </c>
      <c r="N174" s="44">
        <f t="shared" si="7"/>
        <v>23522.5</v>
      </c>
      <c r="O174" s="52" t="s">
        <v>23</v>
      </c>
    </row>
    <row r="175" spans="1:15" s="39" customFormat="1" ht="19.5" customHeight="1" x14ac:dyDescent="0.25">
      <c r="A175" s="12"/>
      <c r="B175" s="52">
        <f t="shared" si="8"/>
        <v>170</v>
      </c>
      <c r="C175" s="53" t="s">
        <v>226</v>
      </c>
      <c r="D175" s="54" t="s">
        <v>59</v>
      </c>
      <c r="E175" s="53" t="s">
        <v>25</v>
      </c>
      <c r="F175" s="54" t="s">
        <v>106</v>
      </c>
      <c r="G175" s="43">
        <v>13000</v>
      </c>
      <c r="H175" s="43">
        <v>13000</v>
      </c>
      <c r="I175" s="43">
        <v>373.1</v>
      </c>
      <c r="J175" s="43">
        <v>0</v>
      </c>
      <c r="K175" s="43">
        <v>395.2</v>
      </c>
      <c r="L175" s="43">
        <v>2257.1</v>
      </c>
      <c r="M175" s="44">
        <f t="shared" si="6"/>
        <v>3025.3999999999996</v>
      </c>
      <c r="N175" s="44">
        <f t="shared" si="7"/>
        <v>9974.6</v>
      </c>
      <c r="O175" s="52" t="s">
        <v>23</v>
      </c>
    </row>
    <row r="176" spans="1:15" s="39" customFormat="1" x14ac:dyDescent="0.25">
      <c r="A176" s="12"/>
      <c r="B176" s="52">
        <f t="shared" si="8"/>
        <v>171</v>
      </c>
      <c r="C176" s="53" t="s">
        <v>227</v>
      </c>
      <c r="D176" s="54" t="s">
        <v>59</v>
      </c>
      <c r="E176" s="53" t="s">
        <v>25</v>
      </c>
      <c r="F176" s="54" t="s">
        <v>28</v>
      </c>
      <c r="G176" s="43">
        <v>16458.2</v>
      </c>
      <c r="H176" s="43">
        <v>16458.2</v>
      </c>
      <c r="I176" s="43">
        <v>472.35</v>
      </c>
      <c r="J176" s="43">
        <v>0</v>
      </c>
      <c r="K176" s="43">
        <v>500.33</v>
      </c>
      <c r="L176" s="43">
        <v>0</v>
      </c>
      <c r="M176" s="44">
        <f t="shared" si="6"/>
        <v>972.68000000000006</v>
      </c>
      <c r="N176" s="44">
        <f t="shared" si="7"/>
        <v>15485.52</v>
      </c>
      <c r="O176" s="52" t="s">
        <v>23</v>
      </c>
    </row>
    <row r="177" spans="1:15" s="39" customFormat="1" x14ac:dyDescent="0.25">
      <c r="A177" s="12"/>
      <c r="B177" s="52">
        <f t="shared" si="8"/>
        <v>172</v>
      </c>
      <c r="C177" s="53" t="s">
        <v>228</v>
      </c>
      <c r="D177" s="54" t="s">
        <v>59</v>
      </c>
      <c r="E177" s="53" t="s">
        <v>25</v>
      </c>
      <c r="F177" s="54" t="s">
        <v>45</v>
      </c>
      <c r="G177" s="43">
        <v>28000</v>
      </c>
      <c r="H177" s="43">
        <v>28000</v>
      </c>
      <c r="I177" s="43">
        <v>803.6</v>
      </c>
      <c r="J177" s="43">
        <v>0</v>
      </c>
      <c r="K177" s="43">
        <v>851.2</v>
      </c>
      <c r="L177" s="43">
        <v>31.21</v>
      </c>
      <c r="M177" s="44">
        <f t="shared" si="6"/>
        <v>1686.0100000000002</v>
      </c>
      <c r="N177" s="44">
        <f t="shared" si="7"/>
        <v>26313.989999999998</v>
      </c>
      <c r="O177" s="52" t="s">
        <v>23</v>
      </c>
    </row>
    <row r="178" spans="1:15" s="39" customFormat="1" x14ac:dyDescent="0.25">
      <c r="A178" s="37"/>
      <c r="B178" s="52">
        <f t="shared" si="8"/>
        <v>173</v>
      </c>
      <c r="C178" s="53" t="s">
        <v>229</v>
      </c>
      <c r="D178" s="54" t="s">
        <v>59</v>
      </c>
      <c r="E178" s="53" t="s">
        <v>25</v>
      </c>
      <c r="F178" s="54" t="s">
        <v>220</v>
      </c>
      <c r="G178" s="43">
        <v>15000</v>
      </c>
      <c r="H178" s="43">
        <v>15000</v>
      </c>
      <c r="I178" s="43">
        <v>430.5</v>
      </c>
      <c r="J178" s="43">
        <v>0</v>
      </c>
      <c r="K178" s="43">
        <v>456</v>
      </c>
      <c r="L178" s="43">
        <v>1031.21</v>
      </c>
      <c r="M178" s="44">
        <f t="shared" si="6"/>
        <v>1917.71</v>
      </c>
      <c r="N178" s="44">
        <f t="shared" si="7"/>
        <v>13082.29</v>
      </c>
      <c r="O178" s="52" t="s">
        <v>19</v>
      </c>
    </row>
    <row r="179" spans="1:15" s="39" customFormat="1" x14ac:dyDescent="0.25">
      <c r="A179" s="12"/>
      <c r="B179" s="52">
        <f t="shared" si="8"/>
        <v>174</v>
      </c>
      <c r="C179" s="53" t="s">
        <v>230</v>
      </c>
      <c r="D179" s="54" t="s">
        <v>59</v>
      </c>
      <c r="E179" s="53" t="s">
        <v>25</v>
      </c>
      <c r="F179" s="54" t="s">
        <v>231</v>
      </c>
      <c r="G179" s="43">
        <v>16500</v>
      </c>
      <c r="H179" s="43">
        <v>16500</v>
      </c>
      <c r="I179" s="43">
        <v>473.55</v>
      </c>
      <c r="J179" s="43">
        <v>0</v>
      </c>
      <c r="K179" s="43">
        <v>501.6</v>
      </c>
      <c r="L179" s="43">
        <v>0</v>
      </c>
      <c r="M179" s="44">
        <f t="shared" si="6"/>
        <v>975.15000000000009</v>
      </c>
      <c r="N179" s="44">
        <f t="shared" si="7"/>
        <v>15524.85</v>
      </c>
      <c r="O179" s="52" t="s">
        <v>19</v>
      </c>
    </row>
    <row r="180" spans="1:15" s="39" customFormat="1" x14ac:dyDescent="0.25">
      <c r="A180" s="12"/>
      <c r="B180" s="52">
        <f t="shared" si="8"/>
        <v>175</v>
      </c>
      <c r="C180" s="53" t="s">
        <v>232</v>
      </c>
      <c r="D180" s="54" t="s">
        <v>59</v>
      </c>
      <c r="E180" s="53" t="s">
        <v>25</v>
      </c>
      <c r="F180" s="54" t="s">
        <v>66</v>
      </c>
      <c r="G180" s="43">
        <v>20000</v>
      </c>
      <c r="H180" s="43">
        <v>20000</v>
      </c>
      <c r="I180" s="43">
        <v>574</v>
      </c>
      <c r="J180" s="43">
        <v>0</v>
      </c>
      <c r="K180" s="43">
        <v>608</v>
      </c>
      <c r="L180" s="43">
        <v>1000</v>
      </c>
      <c r="M180" s="44">
        <f t="shared" si="6"/>
        <v>2182</v>
      </c>
      <c r="N180" s="44">
        <f t="shared" si="7"/>
        <v>17818</v>
      </c>
      <c r="O180" s="52" t="s">
        <v>19</v>
      </c>
    </row>
    <row r="181" spans="1:15" s="39" customFormat="1" x14ac:dyDescent="0.25">
      <c r="A181" s="12"/>
      <c r="B181" s="52">
        <f t="shared" si="8"/>
        <v>176</v>
      </c>
      <c r="C181" s="53" t="s">
        <v>233</v>
      </c>
      <c r="D181" s="54" t="s">
        <v>59</v>
      </c>
      <c r="E181" s="53" t="s">
        <v>25</v>
      </c>
      <c r="F181" s="54" t="s">
        <v>106</v>
      </c>
      <c r="G181" s="43">
        <v>13000</v>
      </c>
      <c r="H181" s="43">
        <v>13000</v>
      </c>
      <c r="I181" s="43">
        <v>373.1</v>
      </c>
      <c r="J181" s="43">
        <v>0</v>
      </c>
      <c r="K181" s="43">
        <v>395.2</v>
      </c>
      <c r="L181" s="43">
        <v>0</v>
      </c>
      <c r="M181" s="44">
        <f t="shared" si="6"/>
        <v>768.3</v>
      </c>
      <c r="N181" s="44">
        <f t="shared" si="7"/>
        <v>12231.7</v>
      </c>
      <c r="O181" s="52" t="s">
        <v>19</v>
      </c>
    </row>
    <row r="182" spans="1:15" s="39" customFormat="1" x14ac:dyDescent="0.25">
      <c r="A182" s="12"/>
      <c r="B182" s="52">
        <f>+B181+1</f>
        <v>177</v>
      </c>
      <c r="C182" s="53" t="s">
        <v>234</v>
      </c>
      <c r="D182" s="54" t="s">
        <v>59</v>
      </c>
      <c r="E182" s="53" t="s">
        <v>25</v>
      </c>
      <c r="F182" s="54" t="s">
        <v>45</v>
      </c>
      <c r="G182" s="43">
        <v>28000</v>
      </c>
      <c r="H182" s="43">
        <v>28000</v>
      </c>
      <c r="I182" s="43">
        <v>803.6</v>
      </c>
      <c r="J182" s="43">
        <v>0</v>
      </c>
      <c r="K182" s="43">
        <v>851.2</v>
      </c>
      <c r="L182" s="43">
        <v>6427.42</v>
      </c>
      <c r="M182" s="44">
        <f t="shared" si="6"/>
        <v>8082.22</v>
      </c>
      <c r="N182" s="44">
        <f t="shared" si="7"/>
        <v>19917.78</v>
      </c>
      <c r="O182" s="52" t="s">
        <v>23</v>
      </c>
    </row>
    <row r="183" spans="1:15" s="39" customFormat="1" x14ac:dyDescent="0.25">
      <c r="A183" s="12"/>
      <c r="B183" s="52">
        <f t="shared" si="8"/>
        <v>178</v>
      </c>
      <c r="C183" s="53" t="s">
        <v>235</v>
      </c>
      <c r="D183" s="54" t="s">
        <v>59</v>
      </c>
      <c r="E183" s="53" t="s">
        <v>25</v>
      </c>
      <c r="F183" s="54" t="s">
        <v>150</v>
      </c>
      <c r="G183" s="43">
        <v>18000</v>
      </c>
      <c r="H183" s="43">
        <v>18000</v>
      </c>
      <c r="I183" s="43">
        <v>516.6</v>
      </c>
      <c r="J183" s="43">
        <v>0</v>
      </c>
      <c r="K183" s="43">
        <v>547.20000000000005</v>
      </c>
      <c r="L183" s="43">
        <v>0</v>
      </c>
      <c r="M183" s="44">
        <f t="shared" si="6"/>
        <v>1063.8000000000002</v>
      </c>
      <c r="N183" s="44">
        <f t="shared" si="7"/>
        <v>16936.2</v>
      </c>
      <c r="O183" s="52" t="s">
        <v>19</v>
      </c>
    </row>
    <row r="184" spans="1:15" s="39" customFormat="1" x14ac:dyDescent="0.25">
      <c r="A184" s="37"/>
      <c r="B184" s="52">
        <f t="shared" si="8"/>
        <v>179</v>
      </c>
      <c r="C184" s="53" t="s">
        <v>236</v>
      </c>
      <c r="D184" s="54" t="s">
        <v>59</v>
      </c>
      <c r="E184" s="53" t="s">
        <v>25</v>
      </c>
      <c r="F184" s="54" t="s">
        <v>106</v>
      </c>
      <c r="G184" s="43">
        <v>13000</v>
      </c>
      <c r="H184" s="43">
        <v>13000</v>
      </c>
      <c r="I184" s="43">
        <v>373.1</v>
      </c>
      <c r="J184" s="43">
        <v>0</v>
      </c>
      <c r="K184" s="43">
        <v>395.2</v>
      </c>
      <c r="L184" s="43">
        <v>1000</v>
      </c>
      <c r="M184" s="44">
        <f t="shared" si="6"/>
        <v>1768.3</v>
      </c>
      <c r="N184" s="44">
        <f t="shared" si="7"/>
        <v>11231.7</v>
      </c>
      <c r="O184" s="52" t="s">
        <v>19</v>
      </c>
    </row>
    <row r="185" spans="1:15" s="39" customFormat="1" x14ac:dyDescent="0.25">
      <c r="A185" s="12"/>
      <c r="B185" s="52">
        <f t="shared" si="8"/>
        <v>180</v>
      </c>
      <c r="C185" s="53" t="s">
        <v>237</v>
      </c>
      <c r="D185" s="54" t="s">
        <v>59</v>
      </c>
      <c r="E185" s="53" t="s">
        <v>25</v>
      </c>
      <c r="F185" s="54" t="s">
        <v>106</v>
      </c>
      <c r="G185" s="43">
        <v>13000</v>
      </c>
      <c r="H185" s="43">
        <v>13000</v>
      </c>
      <c r="I185" s="43">
        <v>373.1</v>
      </c>
      <c r="J185" s="43">
        <v>0</v>
      </c>
      <c r="K185" s="43">
        <v>395.2</v>
      </c>
      <c r="L185" s="43">
        <v>0</v>
      </c>
      <c r="M185" s="44">
        <f t="shared" si="6"/>
        <v>768.3</v>
      </c>
      <c r="N185" s="44">
        <f t="shared" si="7"/>
        <v>12231.7</v>
      </c>
      <c r="O185" s="52" t="s">
        <v>19</v>
      </c>
    </row>
    <row r="186" spans="1:15" s="39" customFormat="1" x14ac:dyDescent="0.25">
      <c r="A186" s="12"/>
      <c r="B186" s="52">
        <f t="shared" si="8"/>
        <v>181</v>
      </c>
      <c r="C186" s="53" t="s">
        <v>238</v>
      </c>
      <c r="D186" s="54" t="s">
        <v>59</v>
      </c>
      <c r="E186" s="53" t="s">
        <v>25</v>
      </c>
      <c r="F186" s="54" t="s">
        <v>28</v>
      </c>
      <c r="G186" s="43">
        <v>25000</v>
      </c>
      <c r="H186" s="43">
        <v>25000</v>
      </c>
      <c r="I186" s="43">
        <v>717.5</v>
      </c>
      <c r="J186" s="43">
        <v>0</v>
      </c>
      <c r="K186" s="43">
        <v>760</v>
      </c>
      <c r="L186" s="43">
        <v>500</v>
      </c>
      <c r="M186" s="44">
        <f t="shared" si="6"/>
        <v>1977.5</v>
      </c>
      <c r="N186" s="44">
        <f t="shared" si="7"/>
        <v>23022.5</v>
      </c>
      <c r="O186" s="52" t="s">
        <v>23</v>
      </c>
    </row>
    <row r="187" spans="1:15" s="39" customFormat="1" x14ac:dyDescent="0.25">
      <c r="A187" s="12"/>
      <c r="B187" s="52">
        <f t="shared" si="8"/>
        <v>182</v>
      </c>
      <c r="C187" s="53" t="s">
        <v>239</v>
      </c>
      <c r="D187" s="54" t="s">
        <v>59</v>
      </c>
      <c r="E187" s="53" t="s">
        <v>25</v>
      </c>
      <c r="F187" s="54" t="s">
        <v>62</v>
      </c>
      <c r="G187" s="43">
        <v>10000</v>
      </c>
      <c r="H187" s="43">
        <v>10000</v>
      </c>
      <c r="I187" s="43">
        <v>287</v>
      </c>
      <c r="J187" s="43">
        <v>0</v>
      </c>
      <c r="K187" s="43">
        <v>304</v>
      </c>
      <c r="L187" s="43">
        <v>0</v>
      </c>
      <c r="M187" s="44">
        <f t="shared" si="6"/>
        <v>591</v>
      </c>
      <c r="N187" s="44">
        <f t="shared" si="7"/>
        <v>9409</v>
      </c>
      <c r="O187" s="52" t="s">
        <v>23</v>
      </c>
    </row>
    <row r="188" spans="1:15" s="39" customFormat="1" x14ac:dyDescent="0.25">
      <c r="A188" s="12"/>
      <c r="B188" s="52">
        <f t="shared" si="8"/>
        <v>183</v>
      </c>
      <c r="C188" s="53" t="s">
        <v>240</v>
      </c>
      <c r="D188" s="54" t="s">
        <v>59</v>
      </c>
      <c r="E188" s="53" t="s">
        <v>25</v>
      </c>
      <c r="F188" s="54" t="s">
        <v>220</v>
      </c>
      <c r="G188" s="43">
        <v>10000</v>
      </c>
      <c r="H188" s="43">
        <v>10000</v>
      </c>
      <c r="I188" s="43">
        <v>287</v>
      </c>
      <c r="J188" s="43">
        <v>0</v>
      </c>
      <c r="K188" s="43">
        <v>304</v>
      </c>
      <c r="L188" s="43">
        <v>0</v>
      </c>
      <c r="M188" s="44">
        <f t="shared" si="6"/>
        <v>591</v>
      </c>
      <c r="N188" s="44">
        <f t="shared" si="7"/>
        <v>9409</v>
      </c>
      <c r="O188" s="52" t="s">
        <v>19</v>
      </c>
    </row>
    <row r="189" spans="1:15" s="39" customFormat="1" x14ac:dyDescent="0.25">
      <c r="A189" s="12"/>
      <c r="B189" s="52">
        <f t="shared" si="8"/>
        <v>184</v>
      </c>
      <c r="C189" s="53" t="s">
        <v>241</v>
      </c>
      <c r="D189" s="54" t="s">
        <v>59</v>
      </c>
      <c r="E189" s="53" t="s">
        <v>25</v>
      </c>
      <c r="F189" s="54" t="s">
        <v>28</v>
      </c>
      <c r="G189" s="43">
        <v>15000</v>
      </c>
      <c r="H189" s="43">
        <v>15000</v>
      </c>
      <c r="I189" s="43">
        <v>430.5</v>
      </c>
      <c r="J189" s="43">
        <v>0</v>
      </c>
      <c r="K189" s="43">
        <v>456</v>
      </c>
      <c r="L189" s="43">
        <v>0</v>
      </c>
      <c r="M189" s="44">
        <f t="shared" ref="M189:M245" si="9">SUM(I189:L189)</f>
        <v>886.5</v>
      </c>
      <c r="N189" s="44">
        <f t="shared" si="7"/>
        <v>14113.5</v>
      </c>
      <c r="O189" s="52" t="s">
        <v>23</v>
      </c>
    </row>
    <row r="190" spans="1:15" s="39" customFormat="1" x14ac:dyDescent="0.25">
      <c r="A190" s="12"/>
      <c r="B190" s="52">
        <f t="shared" si="8"/>
        <v>185</v>
      </c>
      <c r="C190" s="53" t="s">
        <v>242</v>
      </c>
      <c r="D190" s="54" t="s">
        <v>59</v>
      </c>
      <c r="E190" s="53" t="s">
        <v>25</v>
      </c>
      <c r="F190" s="54" t="s">
        <v>45</v>
      </c>
      <c r="G190" s="43">
        <v>28000</v>
      </c>
      <c r="H190" s="43">
        <v>28000</v>
      </c>
      <c r="I190" s="43">
        <v>803.6</v>
      </c>
      <c r="J190" s="43">
        <v>0</v>
      </c>
      <c r="K190" s="43">
        <v>851.2</v>
      </c>
      <c r="L190" s="43">
        <v>0</v>
      </c>
      <c r="M190" s="44">
        <f t="shared" si="9"/>
        <v>1654.8000000000002</v>
      </c>
      <c r="N190" s="44">
        <f t="shared" si="7"/>
        <v>26345.200000000001</v>
      </c>
      <c r="O190" s="52" t="s">
        <v>19</v>
      </c>
    </row>
    <row r="191" spans="1:15" s="39" customFormat="1" x14ac:dyDescent="0.25">
      <c r="A191" s="12"/>
      <c r="B191" s="52">
        <f t="shared" si="8"/>
        <v>186</v>
      </c>
      <c r="C191" s="53" t="s">
        <v>243</v>
      </c>
      <c r="D191" s="54" t="s">
        <v>59</v>
      </c>
      <c r="E191" s="53" t="s">
        <v>25</v>
      </c>
      <c r="F191" s="54" t="s">
        <v>45</v>
      </c>
      <c r="G191" s="43">
        <v>16720</v>
      </c>
      <c r="H191" s="43">
        <v>16720</v>
      </c>
      <c r="I191" s="43">
        <v>479.86</v>
      </c>
      <c r="J191" s="43">
        <v>0</v>
      </c>
      <c r="K191" s="43">
        <v>508.29</v>
      </c>
      <c r="L191" s="43">
        <v>0</v>
      </c>
      <c r="M191" s="44">
        <f t="shared" si="9"/>
        <v>988.15000000000009</v>
      </c>
      <c r="N191" s="44">
        <f t="shared" si="7"/>
        <v>15731.85</v>
      </c>
      <c r="O191" s="52" t="s">
        <v>23</v>
      </c>
    </row>
    <row r="192" spans="1:15" s="39" customFormat="1" x14ac:dyDescent="0.25">
      <c r="A192" s="12"/>
      <c r="B192" s="52">
        <f t="shared" si="8"/>
        <v>187</v>
      </c>
      <c r="C192" s="53" t="s">
        <v>583</v>
      </c>
      <c r="D192" s="54" t="s">
        <v>59</v>
      </c>
      <c r="E192" s="53" t="s">
        <v>25</v>
      </c>
      <c r="F192" s="54" t="s">
        <v>106</v>
      </c>
      <c r="G192" s="43">
        <v>10000</v>
      </c>
      <c r="H192" s="43">
        <f>+G192</f>
        <v>10000</v>
      </c>
      <c r="I192" s="43">
        <f>+G192*2.87%</f>
        <v>287</v>
      </c>
      <c r="J192" s="43">
        <v>0</v>
      </c>
      <c r="K192" s="43">
        <f>++G192*3.04%</f>
        <v>304</v>
      </c>
      <c r="L192" s="43">
        <v>0</v>
      </c>
      <c r="M192" s="44">
        <f>+I192+K192</f>
        <v>591</v>
      </c>
      <c r="N192" s="44">
        <f>+G192-M192</f>
        <v>9409</v>
      </c>
      <c r="O192" s="52" t="s">
        <v>19</v>
      </c>
    </row>
    <row r="193" spans="1:15" s="39" customFormat="1" x14ac:dyDescent="0.25">
      <c r="A193" s="12"/>
      <c r="B193" s="52">
        <f>+B192+1</f>
        <v>188</v>
      </c>
      <c r="C193" s="53" t="s">
        <v>584</v>
      </c>
      <c r="D193" s="54" t="s">
        <v>59</v>
      </c>
      <c r="E193" s="53" t="s">
        <v>25</v>
      </c>
      <c r="F193" s="54" t="s">
        <v>585</v>
      </c>
      <c r="G193" s="43">
        <v>12000</v>
      </c>
      <c r="H193" s="43">
        <f t="shared" ref="H193:H194" si="10">+G193</f>
        <v>12000</v>
      </c>
      <c r="I193" s="43">
        <f t="shared" ref="I193:I194" si="11">+G193*2.87%</f>
        <v>344.4</v>
      </c>
      <c r="J193" s="43">
        <v>0</v>
      </c>
      <c r="K193" s="43">
        <f t="shared" ref="K193:K194" si="12">++G193*3.04%</f>
        <v>364.8</v>
      </c>
      <c r="L193" s="43">
        <v>0</v>
      </c>
      <c r="M193" s="44">
        <f t="shared" ref="M193:M194" si="13">+I193+K193</f>
        <v>709.2</v>
      </c>
      <c r="N193" s="44">
        <f t="shared" ref="N193:N194" si="14">+G193-M193</f>
        <v>11290.8</v>
      </c>
      <c r="O193" s="52" t="s">
        <v>23</v>
      </c>
    </row>
    <row r="194" spans="1:15" s="39" customFormat="1" x14ac:dyDescent="0.25">
      <c r="A194" s="12"/>
      <c r="B194" s="52">
        <f t="shared" si="8"/>
        <v>189</v>
      </c>
      <c r="C194" s="53" t="s">
        <v>591</v>
      </c>
      <c r="D194" s="54" t="s">
        <v>59</v>
      </c>
      <c r="E194" s="53" t="s">
        <v>25</v>
      </c>
      <c r="F194" s="54" t="s">
        <v>106</v>
      </c>
      <c r="G194" s="43">
        <v>11000</v>
      </c>
      <c r="H194" s="43">
        <f t="shared" si="10"/>
        <v>11000</v>
      </c>
      <c r="I194" s="43">
        <f t="shared" si="11"/>
        <v>315.7</v>
      </c>
      <c r="J194" s="43">
        <v>0</v>
      </c>
      <c r="K194" s="43">
        <f t="shared" si="12"/>
        <v>334.4</v>
      </c>
      <c r="L194" s="43">
        <v>0</v>
      </c>
      <c r="M194" s="44">
        <f t="shared" si="13"/>
        <v>650.09999999999991</v>
      </c>
      <c r="N194" s="44">
        <f t="shared" si="14"/>
        <v>10349.9</v>
      </c>
      <c r="O194" s="52" t="s">
        <v>19</v>
      </c>
    </row>
    <row r="195" spans="1:15" s="39" customFormat="1" x14ac:dyDescent="0.25">
      <c r="A195" s="12"/>
      <c r="B195" s="52">
        <f t="shared" si="8"/>
        <v>190</v>
      </c>
      <c r="C195" s="53" t="s">
        <v>244</v>
      </c>
      <c r="D195" s="54" t="s">
        <v>245</v>
      </c>
      <c r="E195" s="53" t="s">
        <v>21</v>
      </c>
      <c r="F195" s="54" t="s">
        <v>84</v>
      </c>
      <c r="G195" s="43">
        <v>56154.5</v>
      </c>
      <c r="H195" s="43">
        <v>56154.5</v>
      </c>
      <c r="I195" s="43">
        <v>1611.63</v>
      </c>
      <c r="J195" s="43">
        <v>2763.03</v>
      </c>
      <c r="K195" s="43">
        <v>1707.1</v>
      </c>
      <c r="L195" s="43">
        <f>140+9319.97+63.72+1500</f>
        <v>11023.689999999999</v>
      </c>
      <c r="M195" s="44">
        <f t="shared" si="9"/>
        <v>17105.449999999997</v>
      </c>
      <c r="N195" s="44">
        <f t="shared" si="7"/>
        <v>39049.050000000003</v>
      </c>
      <c r="O195" s="52" t="s">
        <v>19</v>
      </c>
    </row>
    <row r="196" spans="1:15" s="39" customFormat="1" x14ac:dyDescent="0.25">
      <c r="A196" s="12"/>
      <c r="B196" s="52">
        <f t="shared" si="8"/>
        <v>191</v>
      </c>
      <c r="C196" s="53" t="s">
        <v>246</v>
      </c>
      <c r="D196" s="54" t="s">
        <v>245</v>
      </c>
      <c r="E196" s="53" t="s">
        <v>21</v>
      </c>
      <c r="F196" s="54" t="s">
        <v>85</v>
      </c>
      <c r="G196" s="43">
        <v>30000</v>
      </c>
      <c r="H196" s="43">
        <v>30000</v>
      </c>
      <c r="I196" s="43">
        <v>861</v>
      </c>
      <c r="J196" s="43">
        <v>0</v>
      </c>
      <c r="K196" s="43">
        <v>912</v>
      </c>
      <c r="L196" s="43">
        <f>1247.57+31.21</f>
        <v>1278.78</v>
      </c>
      <c r="M196" s="44">
        <f t="shared" si="9"/>
        <v>3051.7799999999997</v>
      </c>
      <c r="N196" s="44">
        <f t="shared" si="7"/>
        <v>26948.22</v>
      </c>
      <c r="O196" s="52" t="s">
        <v>23</v>
      </c>
    </row>
    <row r="197" spans="1:15" s="39" customFormat="1" x14ac:dyDescent="0.25">
      <c r="A197" s="12"/>
      <c r="B197" s="52">
        <f t="shared" si="8"/>
        <v>192</v>
      </c>
      <c r="C197" s="53" t="s">
        <v>247</v>
      </c>
      <c r="D197" s="54" t="s">
        <v>245</v>
      </c>
      <c r="E197" s="53" t="s">
        <v>21</v>
      </c>
      <c r="F197" s="54" t="s">
        <v>85</v>
      </c>
      <c r="G197" s="43">
        <v>28000</v>
      </c>
      <c r="H197" s="43">
        <v>28000</v>
      </c>
      <c r="I197" s="43">
        <v>803.6</v>
      </c>
      <c r="J197" s="43">
        <v>0</v>
      </c>
      <c r="K197" s="43">
        <v>851.2</v>
      </c>
      <c r="L197" s="43">
        <f>140+31.21+1000+5146.38</f>
        <v>6317.59</v>
      </c>
      <c r="M197" s="44">
        <f t="shared" si="9"/>
        <v>7972.39</v>
      </c>
      <c r="N197" s="44">
        <f t="shared" ref="N197:N245" si="15">G197-M197</f>
        <v>20027.61</v>
      </c>
      <c r="O197" s="52" t="s">
        <v>23</v>
      </c>
    </row>
    <row r="198" spans="1:15" s="39" customFormat="1" x14ac:dyDescent="0.25">
      <c r="A198" s="12"/>
      <c r="B198" s="52">
        <f t="shared" si="8"/>
        <v>193</v>
      </c>
      <c r="C198" s="53" t="s">
        <v>248</v>
      </c>
      <c r="D198" s="54" t="s">
        <v>245</v>
      </c>
      <c r="E198" s="53" t="s">
        <v>21</v>
      </c>
      <c r="F198" s="54" t="s">
        <v>84</v>
      </c>
      <c r="G198" s="43">
        <v>38000</v>
      </c>
      <c r="H198" s="43">
        <v>38000</v>
      </c>
      <c r="I198" s="43">
        <v>1090.5999999999999</v>
      </c>
      <c r="J198" s="43">
        <v>160.38</v>
      </c>
      <c r="K198" s="43">
        <v>1155.2</v>
      </c>
      <c r="L198" s="43">
        <f>120+1455.5+31.21+500+12159.03</f>
        <v>14265.740000000002</v>
      </c>
      <c r="M198" s="44">
        <f>+L198+K198+J198+I198</f>
        <v>16671.920000000002</v>
      </c>
      <c r="N198" s="44">
        <f>+G198-M198</f>
        <v>21328.079999999998</v>
      </c>
      <c r="O198" s="52" t="s">
        <v>23</v>
      </c>
    </row>
    <row r="199" spans="1:15" s="39" customFormat="1" x14ac:dyDescent="0.25">
      <c r="A199" s="12"/>
      <c r="B199" s="52">
        <f t="shared" si="8"/>
        <v>194</v>
      </c>
      <c r="C199" s="53" t="s">
        <v>249</v>
      </c>
      <c r="D199" s="54" t="s">
        <v>245</v>
      </c>
      <c r="E199" s="53" t="s">
        <v>21</v>
      </c>
      <c r="F199" s="54" t="s">
        <v>84</v>
      </c>
      <c r="G199" s="43">
        <v>35000</v>
      </c>
      <c r="H199" s="43">
        <v>35000</v>
      </c>
      <c r="I199" s="43">
        <v>1004.5</v>
      </c>
      <c r="J199" s="43">
        <v>0</v>
      </c>
      <c r="K199" s="43">
        <v>1064</v>
      </c>
      <c r="L199" s="43">
        <f>140+1923.33+31.21+1500+7031.41+2637.48</f>
        <v>13263.43</v>
      </c>
      <c r="M199" s="44">
        <f t="shared" si="9"/>
        <v>15331.93</v>
      </c>
      <c r="N199" s="44">
        <f t="shared" si="15"/>
        <v>19668.07</v>
      </c>
      <c r="O199" s="52" t="s">
        <v>23</v>
      </c>
    </row>
    <row r="200" spans="1:15" s="39" customFormat="1" x14ac:dyDescent="0.25">
      <c r="A200" s="12"/>
      <c r="B200" s="52">
        <f t="shared" si="8"/>
        <v>195</v>
      </c>
      <c r="C200" s="53" t="s">
        <v>250</v>
      </c>
      <c r="D200" s="54" t="s">
        <v>245</v>
      </c>
      <c r="E200" s="53" t="s">
        <v>25</v>
      </c>
      <c r="F200" s="54" t="s">
        <v>85</v>
      </c>
      <c r="G200" s="43">
        <v>38000</v>
      </c>
      <c r="H200" s="43">
        <v>38000</v>
      </c>
      <c r="I200" s="43">
        <v>1090.5999999999999</v>
      </c>
      <c r="J200" s="43">
        <v>0</v>
      </c>
      <c r="K200" s="43">
        <v>1155.2</v>
      </c>
      <c r="L200" s="43">
        <f>415.86+31.21+3430.92</f>
        <v>3877.9900000000002</v>
      </c>
      <c r="M200" s="44">
        <f>+L200+K200+I200</f>
        <v>6123.7900000000009</v>
      </c>
      <c r="N200" s="44">
        <f>+G200-M200</f>
        <v>31876.21</v>
      </c>
      <c r="O200" s="52" t="s">
        <v>23</v>
      </c>
    </row>
    <row r="201" spans="1:15" s="39" customFormat="1" x14ac:dyDescent="0.25">
      <c r="A201" s="12"/>
      <c r="B201" s="52">
        <f t="shared" ref="B201:B264" si="16">+B200+1</f>
        <v>196</v>
      </c>
      <c r="C201" s="53" t="s">
        <v>251</v>
      </c>
      <c r="D201" s="54" t="s">
        <v>252</v>
      </c>
      <c r="E201" s="53" t="s">
        <v>25</v>
      </c>
      <c r="F201" s="54" t="s">
        <v>253</v>
      </c>
      <c r="G201" s="43">
        <v>75000</v>
      </c>
      <c r="H201" s="43">
        <v>75000</v>
      </c>
      <c r="I201" s="43">
        <v>2152.5</v>
      </c>
      <c r="J201" s="43">
        <v>6309.38</v>
      </c>
      <c r="K201" s="43">
        <v>2280</v>
      </c>
      <c r="L201" s="43">
        <v>18394.02</v>
      </c>
      <c r="M201" s="44">
        <f>+L201+K201+J201+I201</f>
        <v>29135.9</v>
      </c>
      <c r="N201" s="44">
        <f t="shared" si="15"/>
        <v>45864.1</v>
      </c>
      <c r="O201" s="52" t="s">
        <v>23</v>
      </c>
    </row>
    <row r="202" spans="1:15" s="39" customFormat="1" x14ac:dyDescent="0.25">
      <c r="A202" s="12"/>
      <c r="B202" s="52">
        <f t="shared" si="16"/>
        <v>197</v>
      </c>
      <c r="C202" s="53" t="s">
        <v>254</v>
      </c>
      <c r="D202" s="54" t="s">
        <v>252</v>
      </c>
      <c r="E202" s="53" t="s">
        <v>21</v>
      </c>
      <c r="F202" s="54" t="s">
        <v>253</v>
      </c>
      <c r="G202" s="43">
        <v>65000</v>
      </c>
      <c r="H202" s="43">
        <v>65000</v>
      </c>
      <c r="I202" s="43">
        <v>1865.5</v>
      </c>
      <c r="J202" s="43">
        <v>4084.48</v>
      </c>
      <c r="K202" s="43">
        <v>1976</v>
      </c>
      <c r="L202" s="43">
        <v>14989.29</v>
      </c>
      <c r="M202" s="44">
        <f t="shared" si="9"/>
        <v>22915.27</v>
      </c>
      <c r="N202" s="44">
        <f t="shared" si="15"/>
        <v>42084.729999999996</v>
      </c>
      <c r="O202" s="52" t="s">
        <v>23</v>
      </c>
    </row>
    <row r="203" spans="1:15" s="39" customFormat="1" x14ac:dyDescent="0.25">
      <c r="A203" s="37"/>
      <c r="B203" s="60">
        <f t="shared" si="16"/>
        <v>198</v>
      </c>
      <c r="C203" s="61" t="s">
        <v>255</v>
      </c>
      <c r="D203" s="62" t="s">
        <v>252</v>
      </c>
      <c r="E203" s="61" t="s">
        <v>21</v>
      </c>
      <c r="F203" s="62" t="s">
        <v>256</v>
      </c>
      <c r="G203" s="63">
        <v>50000</v>
      </c>
      <c r="H203" s="63">
        <v>50000</v>
      </c>
      <c r="I203" s="63">
        <v>1435</v>
      </c>
      <c r="J203" s="63">
        <v>1854</v>
      </c>
      <c r="K203" s="63">
        <v>1520</v>
      </c>
      <c r="L203" s="63">
        <v>9396.11</v>
      </c>
      <c r="M203" s="64">
        <f t="shared" si="9"/>
        <v>14205.11</v>
      </c>
      <c r="N203" s="64">
        <f t="shared" si="15"/>
        <v>35794.89</v>
      </c>
      <c r="O203" s="60" t="s">
        <v>19</v>
      </c>
    </row>
    <row r="204" spans="1:15" s="39" customFormat="1" x14ac:dyDescent="0.25">
      <c r="A204" s="30"/>
      <c r="B204" s="52">
        <f t="shared" si="16"/>
        <v>199</v>
      </c>
      <c r="C204" s="53" t="s">
        <v>257</v>
      </c>
      <c r="D204" s="54" t="s">
        <v>252</v>
      </c>
      <c r="E204" s="53" t="s">
        <v>21</v>
      </c>
      <c r="F204" s="54" t="s">
        <v>258</v>
      </c>
      <c r="G204" s="43">
        <v>95000</v>
      </c>
      <c r="H204" s="43">
        <v>95000</v>
      </c>
      <c r="I204" s="43">
        <v>2726.5</v>
      </c>
      <c r="J204" s="43">
        <v>10919.24</v>
      </c>
      <c r="K204" s="43">
        <v>2888</v>
      </c>
      <c r="L204" s="43">
        <f>11440.08+2349.02-2637.48</f>
        <v>11151.62</v>
      </c>
      <c r="M204" s="44">
        <v>27695.34</v>
      </c>
      <c r="N204" s="44">
        <f t="shared" si="15"/>
        <v>67304.66</v>
      </c>
      <c r="O204" s="52" t="s">
        <v>19</v>
      </c>
    </row>
    <row r="205" spans="1:15" s="39" customFormat="1" x14ac:dyDescent="0.25">
      <c r="A205" s="12"/>
      <c r="B205" s="52">
        <f t="shared" si="16"/>
        <v>200</v>
      </c>
      <c r="C205" s="53" t="s">
        <v>259</v>
      </c>
      <c r="D205" s="54" t="s">
        <v>252</v>
      </c>
      <c r="E205" s="53" t="s">
        <v>25</v>
      </c>
      <c r="F205" s="54" t="s">
        <v>256</v>
      </c>
      <c r="G205" s="43">
        <v>50000</v>
      </c>
      <c r="H205" s="43">
        <v>50000</v>
      </c>
      <c r="I205" s="43">
        <v>1435</v>
      </c>
      <c r="J205" s="43">
        <v>1854</v>
      </c>
      <c r="K205" s="43">
        <v>1520</v>
      </c>
      <c r="L205" s="43">
        <v>10691.48</v>
      </c>
      <c r="M205" s="44">
        <f t="shared" si="9"/>
        <v>15500.48</v>
      </c>
      <c r="N205" s="44">
        <f t="shared" si="15"/>
        <v>34499.520000000004</v>
      </c>
      <c r="O205" s="52" t="s">
        <v>23</v>
      </c>
    </row>
    <row r="206" spans="1:15" s="39" customFormat="1" x14ac:dyDescent="0.25">
      <c r="A206" s="12"/>
      <c r="B206" s="52">
        <f t="shared" si="16"/>
        <v>201</v>
      </c>
      <c r="C206" s="53" t="s">
        <v>260</v>
      </c>
      <c r="D206" s="54" t="s">
        <v>252</v>
      </c>
      <c r="E206" s="53" t="s">
        <v>21</v>
      </c>
      <c r="F206" s="54" t="s">
        <v>253</v>
      </c>
      <c r="G206" s="43">
        <v>75000</v>
      </c>
      <c r="H206" s="43">
        <v>75000</v>
      </c>
      <c r="I206" s="43">
        <v>2152.5</v>
      </c>
      <c r="J206" s="43">
        <v>6309.38</v>
      </c>
      <c r="K206" s="43">
        <v>2280</v>
      </c>
      <c r="L206" s="43">
        <f>1593.5+750+100</f>
        <v>2443.5</v>
      </c>
      <c r="M206" s="44">
        <f t="shared" si="9"/>
        <v>13185.380000000001</v>
      </c>
      <c r="N206" s="44">
        <f t="shared" si="15"/>
        <v>61814.619999999995</v>
      </c>
      <c r="O206" s="52" t="s">
        <v>19</v>
      </c>
    </row>
    <row r="207" spans="1:15" s="39" customFormat="1" x14ac:dyDescent="0.25">
      <c r="A207" s="12"/>
      <c r="B207" s="52">
        <f t="shared" si="16"/>
        <v>202</v>
      </c>
      <c r="C207" s="53" t="s">
        <v>261</v>
      </c>
      <c r="D207" s="54" t="s">
        <v>252</v>
      </c>
      <c r="E207" s="53" t="s">
        <v>21</v>
      </c>
      <c r="F207" s="54" t="s">
        <v>262</v>
      </c>
      <c r="G207" s="43">
        <v>85000</v>
      </c>
      <c r="H207" s="43">
        <v>85000</v>
      </c>
      <c r="I207" s="43">
        <v>2439.5</v>
      </c>
      <c r="J207" s="43">
        <v>8576.99</v>
      </c>
      <c r="K207" s="43">
        <v>2584</v>
      </c>
      <c r="L207" s="43">
        <v>35804.75</v>
      </c>
      <c r="M207" s="44">
        <f t="shared" si="9"/>
        <v>49405.24</v>
      </c>
      <c r="N207" s="44">
        <f t="shared" si="15"/>
        <v>35594.76</v>
      </c>
      <c r="O207" s="52" t="s">
        <v>19</v>
      </c>
    </row>
    <row r="208" spans="1:15" s="39" customFormat="1" x14ac:dyDescent="0.25">
      <c r="A208" s="12"/>
      <c r="B208" s="52">
        <f t="shared" si="16"/>
        <v>203</v>
      </c>
      <c r="C208" s="53" t="s">
        <v>263</v>
      </c>
      <c r="D208" s="54" t="s">
        <v>252</v>
      </c>
      <c r="E208" s="53" t="s">
        <v>21</v>
      </c>
      <c r="F208" s="54" t="s">
        <v>258</v>
      </c>
      <c r="G208" s="43">
        <v>95000</v>
      </c>
      <c r="H208" s="43">
        <v>95000</v>
      </c>
      <c r="I208" s="43">
        <v>2726.5</v>
      </c>
      <c r="J208" s="43">
        <v>10929.24</v>
      </c>
      <c r="K208" s="43">
        <v>2888</v>
      </c>
      <c r="L208" s="43">
        <f>5249.77+63.72+100</f>
        <v>5413.4900000000007</v>
      </c>
      <c r="M208" s="44">
        <f t="shared" si="9"/>
        <v>21957.23</v>
      </c>
      <c r="N208" s="44">
        <f t="shared" si="15"/>
        <v>73042.77</v>
      </c>
      <c r="O208" s="52" t="s">
        <v>19</v>
      </c>
    </row>
    <row r="209" spans="1:15" s="39" customFormat="1" x14ac:dyDescent="0.25">
      <c r="A209" s="37"/>
      <c r="B209" s="52">
        <f t="shared" si="16"/>
        <v>204</v>
      </c>
      <c r="C209" s="53" t="s">
        <v>264</v>
      </c>
      <c r="D209" s="54" t="s">
        <v>252</v>
      </c>
      <c r="E209" s="53" t="s">
        <v>25</v>
      </c>
      <c r="F209" s="54" t="s">
        <v>256</v>
      </c>
      <c r="G209" s="43">
        <v>50000</v>
      </c>
      <c r="H209" s="43">
        <v>50000</v>
      </c>
      <c r="I209" s="43">
        <v>1435</v>
      </c>
      <c r="J209" s="43">
        <v>1854</v>
      </c>
      <c r="K209" s="43">
        <v>1520</v>
      </c>
      <c r="L209" s="43">
        <v>30578.61</v>
      </c>
      <c r="M209" s="44">
        <f t="shared" si="9"/>
        <v>35387.61</v>
      </c>
      <c r="N209" s="44">
        <f t="shared" si="15"/>
        <v>14612.39</v>
      </c>
      <c r="O209" s="52" t="s">
        <v>19</v>
      </c>
    </row>
    <row r="210" spans="1:15" s="39" customFormat="1" x14ac:dyDescent="0.25">
      <c r="A210" s="12"/>
      <c r="B210" s="52">
        <f t="shared" si="16"/>
        <v>205</v>
      </c>
      <c r="C210" s="53" t="s">
        <v>265</v>
      </c>
      <c r="D210" s="54" t="s">
        <v>252</v>
      </c>
      <c r="E210" s="53" t="s">
        <v>25</v>
      </c>
      <c r="F210" s="54" t="s">
        <v>256</v>
      </c>
      <c r="G210" s="43">
        <v>50000</v>
      </c>
      <c r="H210" s="43">
        <v>50000</v>
      </c>
      <c r="I210" s="43">
        <v>1435</v>
      </c>
      <c r="J210" s="43">
        <v>1854</v>
      </c>
      <c r="K210" s="43">
        <v>1520</v>
      </c>
      <c r="L210" s="43">
        <f>1663.42+31.21+13837.81+1675+1200</f>
        <v>18407.439999999999</v>
      </c>
      <c r="M210" s="44">
        <f>+L210+K210+J210+I210</f>
        <v>23216.44</v>
      </c>
      <c r="N210" s="44">
        <f>+G210-M210</f>
        <v>26783.56</v>
      </c>
      <c r="O210" s="52" t="s">
        <v>19</v>
      </c>
    </row>
    <row r="211" spans="1:15" s="39" customFormat="1" x14ac:dyDescent="0.25">
      <c r="A211" s="12"/>
      <c r="B211" s="52">
        <f t="shared" si="16"/>
        <v>206</v>
      </c>
      <c r="C211" s="53" t="s">
        <v>266</v>
      </c>
      <c r="D211" s="54" t="s">
        <v>252</v>
      </c>
      <c r="E211" s="53" t="s">
        <v>21</v>
      </c>
      <c r="F211" s="54" t="s">
        <v>253</v>
      </c>
      <c r="G211" s="43">
        <v>75000</v>
      </c>
      <c r="H211" s="43">
        <v>75000</v>
      </c>
      <c r="I211" s="43">
        <v>2152.5</v>
      </c>
      <c r="J211" s="43">
        <v>6309.38</v>
      </c>
      <c r="K211" s="43">
        <v>2280</v>
      </c>
      <c r="L211" s="43">
        <f>3301.64+750+31.21+100+500+15668.19</f>
        <v>20351.04</v>
      </c>
      <c r="M211" s="44">
        <f>+L211+K211+J211+I211</f>
        <v>31092.920000000002</v>
      </c>
      <c r="N211" s="44">
        <f>+G211-M211</f>
        <v>43907.08</v>
      </c>
      <c r="O211" s="52" t="s">
        <v>19</v>
      </c>
    </row>
    <row r="212" spans="1:15" s="39" customFormat="1" x14ac:dyDescent="0.25">
      <c r="A212" s="12"/>
      <c r="B212" s="52">
        <f t="shared" si="16"/>
        <v>207</v>
      </c>
      <c r="C212" s="53" t="s">
        <v>267</v>
      </c>
      <c r="D212" s="54" t="s">
        <v>252</v>
      </c>
      <c r="E212" s="53" t="s">
        <v>25</v>
      </c>
      <c r="F212" s="54" t="s">
        <v>253</v>
      </c>
      <c r="G212" s="43">
        <v>75000</v>
      </c>
      <c r="H212" s="43">
        <v>75000</v>
      </c>
      <c r="I212" s="43">
        <v>2152.5</v>
      </c>
      <c r="J212" s="43">
        <v>6309.38</v>
      </c>
      <c r="K212" s="43">
        <v>2280</v>
      </c>
      <c r="L212" s="43">
        <f>750+31.21+100+500+3658.92</f>
        <v>5040.13</v>
      </c>
      <c r="M212" s="44">
        <f t="shared" si="9"/>
        <v>15782.010000000002</v>
      </c>
      <c r="N212" s="44">
        <f t="shared" si="15"/>
        <v>59217.99</v>
      </c>
      <c r="O212" s="52" t="s">
        <v>23</v>
      </c>
    </row>
    <row r="213" spans="1:15" s="39" customFormat="1" x14ac:dyDescent="0.25">
      <c r="A213" s="12"/>
      <c r="B213" s="52">
        <f t="shared" si="16"/>
        <v>208</v>
      </c>
      <c r="C213" s="53" t="s">
        <v>268</v>
      </c>
      <c r="D213" s="54" t="s">
        <v>252</v>
      </c>
      <c r="E213" s="53" t="s">
        <v>25</v>
      </c>
      <c r="F213" s="54" t="s">
        <v>253</v>
      </c>
      <c r="G213" s="43">
        <v>35000</v>
      </c>
      <c r="H213" s="43">
        <v>35000</v>
      </c>
      <c r="I213" s="43">
        <v>1004.5</v>
      </c>
      <c r="J213" s="43">
        <v>0</v>
      </c>
      <c r="K213" s="43">
        <v>1064</v>
      </c>
      <c r="L213" s="43">
        <v>31.21</v>
      </c>
      <c r="M213" s="44">
        <f t="shared" si="9"/>
        <v>2099.71</v>
      </c>
      <c r="N213" s="44">
        <f t="shared" si="15"/>
        <v>32900.29</v>
      </c>
      <c r="O213" s="52" t="s">
        <v>19</v>
      </c>
    </row>
    <row r="214" spans="1:15" s="39" customFormat="1" x14ac:dyDescent="0.25">
      <c r="A214" s="37"/>
      <c r="B214" s="52">
        <f t="shared" si="16"/>
        <v>209</v>
      </c>
      <c r="C214" s="53" t="s">
        <v>269</v>
      </c>
      <c r="D214" s="54" t="s">
        <v>252</v>
      </c>
      <c r="E214" s="53" t="s">
        <v>21</v>
      </c>
      <c r="F214" s="54" t="s">
        <v>262</v>
      </c>
      <c r="G214" s="43">
        <v>85000</v>
      </c>
      <c r="H214" s="43">
        <v>85000</v>
      </c>
      <c r="I214" s="43">
        <v>2439.5</v>
      </c>
      <c r="J214" s="43">
        <v>8576.99</v>
      </c>
      <c r="K214" s="43">
        <v>2584</v>
      </c>
      <c r="L214" s="43">
        <v>33218.65</v>
      </c>
      <c r="M214" s="44">
        <f t="shared" si="9"/>
        <v>46819.14</v>
      </c>
      <c r="N214" s="44">
        <f t="shared" si="15"/>
        <v>38180.86</v>
      </c>
      <c r="O214" s="52" t="s">
        <v>19</v>
      </c>
    </row>
    <row r="215" spans="1:15" s="39" customFormat="1" x14ac:dyDescent="0.25">
      <c r="A215" s="12"/>
      <c r="B215" s="52">
        <f t="shared" si="16"/>
        <v>210</v>
      </c>
      <c r="C215" s="53" t="s">
        <v>270</v>
      </c>
      <c r="D215" s="54" t="s">
        <v>252</v>
      </c>
      <c r="E215" s="53" t="s">
        <v>25</v>
      </c>
      <c r="F215" s="54" t="s">
        <v>258</v>
      </c>
      <c r="G215" s="43">
        <v>95000</v>
      </c>
      <c r="H215" s="43">
        <v>95000</v>
      </c>
      <c r="I215" s="43">
        <v>2726.5</v>
      </c>
      <c r="J215" s="43">
        <v>10929.24</v>
      </c>
      <c r="K215" s="43">
        <v>2888</v>
      </c>
      <c r="L215" s="43">
        <v>3910.49</v>
      </c>
      <c r="M215" s="44">
        <f t="shared" si="9"/>
        <v>20454.229999999996</v>
      </c>
      <c r="N215" s="44">
        <f t="shared" si="15"/>
        <v>74545.77</v>
      </c>
      <c r="O215" s="52" t="s">
        <v>19</v>
      </c>
    </row>
    <row r="216" spans="1:15" s="39" customFormat="1" x14ac:dyDescent="0.25">
      <c r="A216" s="12"/>
      <c r="B216" s="52">
        <f t="shared" si="16"/>
        <v>211</v>
      </c>
      <c r="C216" s="53" t="s">
        <v>271</v>
      </c>
      <c r="D216" s="54" t="s">
        <v>252</v>
      </c>
      <c r="E216" s="53" t="s">
        <v>25</v>
      </c>
      <c r="F216" s="54" t="s">
        <v>253</v>
      </c>
      <c r="G216" s="43">
        <v>75000</v>
      </c>
      <c r="H216" s="43">
        <v>75000</v>
      </c>
      <c r="I216" s="43">
        <v>2152.5</v>
      </c>
      <c r="J216" s="43">
        <v>6309.38</v>
      </c>
      <c r="K216" s="43">
        <v>2280</v>
      </c>
      <c r="L216" s="43">
        <v>14810.4</v>
      </c>
      <c r="M216" s="44">
        <f>+L216+K216+J216+I216</f>
        <v>25552.280000000002</v>
      </c>
      <c r="N216" s="44">
        <f>+G216-M216</f>
        <v>49447.72</v>
      </c>
      <c r="O216" s="52" t="s">
        <v>19</v>
      </c>
    </row>
    <row r="217" spans="1:15" s="39" customFormat="1" x14ac:dyDescent="0.25">
      <c r="A217" s="12"/>
      <c r="B217" s="60">
        <f t="shared" si="16"/>
        <v>212</v>
      </c>
      <c r="C217" s="61" t="s">
        <v>272</v>
      </c>
      <c r="D217" s="62" t="s">
        <v>252</v>
      </c>
      <c r="E217" s="61" t="s">
        <v>21</v>
      </c>
      <c r="F217" s="62" t="s">
        <v>262</v>
      </c>
      <c r="G217" s="63">
        <v>85000</v>
      </c>
      <c r="H217" s="63">
        <v>85000</v>
      </c>
      <c r="I217" s="63">
        <v>2439.5</v>
      </c>
      <c r="J217" s="63">
        <v>8576.99</v>
      </c>
      <c r="K217" s="63">
        <v>2584</v>
      </c>
      <c r="L217" s="63">
        <v>69620.850000000006</v>
      </c>
      <c r="M217" s="64">
        <f t="shared" si="9"/>
        <v>83221.340000000011</v>
      </c>
      <c r="N217" s="64">
        <f t="shared" si="15"/>
        <v>1778.6599999999889</v>
      </c>
      <c r="O217" s="60" t="s">
        <v>19</v>
      </c>
    </row>
    <row r="218" spans="1:15" s="39" customFormat="1" x14ac:dyDescent="0.25">
      <c r="A218" s="12"/>
      <c r="B218" s="52">
        <f t="shared" si="16"/>
        <v>213</v>
      </c>
      <c r="C218" s="53" t="s">
        <v>273</v>
      </c>
      <c r="D218" s="54" t="s">
        <v>252</v>
      </c>
      <c r="E218" s="53" t="s">
        <v>25</v>
      </c>
      <c r="F218" s="54" t="s">
        <v>253</v>
      </c>
      <c r="G218" s="43">
        <v>75000</v>
      </c>
      <c r="H218" s="43">
        <v>75000</v>
      </c>
      <c r="I218" s="43">
        <v>2152.5</v>
      </c>
      <c r="J218" s="43">
        <v>6309.38</v>
      </c>
      <c r="K218" s="43">
        <v>2280</v>
      </c>
      <c r="L218" s="43">
        <v>19401.37</v>
      </c>
      <c r="M218" s="44">
        <f t="shared" si="9"/>
        <v>30143.25</v>
      </c>
      <c r="N218" s="44">
        <f t="shared" si="15"/>
        <v>44856.75</v>
      </c>
      <c r="O218" s="52" t="s">
        <v>23</v>
      </c>
    </row>
    <row r="219" spans="1:15" s="39" customFormat="1" x14ac:dyDescent="0.25">
      <c r="A219" s="12"/>
      <c r="B219" s="52">
        <f t="shared" si="16"/>
        <v>214</v>
      </c>
      <c r="C219" s="53" t="s">
        <v>274</v>
      </c>
      <c r="D219" s="54" t="s">
        <v>252</v>
      </c>
      <c r="E219" s="53" t="s">
        <v>21</v>
      </c>
      <c r="F219" s="54" t="s">
        <v>262</v>
      </c>
      <c r="G219" s="43">
        <v>85000</v>
      </c>
      <c r="H219" s="43">
        <v>85000</v>
      </c>
      <c r="I219" s="43">
        <v>2439.5</v>
      </c>
      <c r="J219" s="43">
        <v>7719.26</v>
      </c>
      <c r="K219" s="43">
        <v>2584</v>
      </c>
      <c r="L219" s="43">
        <v>3562.13</v>
      </c>
      <c r="M219" s="44">
        <f t="shared" si="9"/>
        <v>16304.89</v>
      </c>
      <c r="N219" s="44">
        <f t="shared" si="15"/>
        <v>68695.11</v>
      </c>
      <c r="O219" s="52" t="s">
        <v>23</v>
      </c>
    </row>
    <row r="220" spans="1:15" s="39" customFormat="1" x14ac:dyDescent="0.25">
      <c r="A220" s="12"/>
      <c r="B220" s="52">
        <f t="shared" si="16"/>
        <v>215</v>
      </c>
      <c r="C220" s="53" t="s">
        <v>275</v>
      </c>
      <c r="D220" s="54" t="s">
        <v>252</v>
      </c>
      <c r="E220" s="53" t="s">
        <v>21</v>
      </c>
      <c r="F220" s="54" t="s">
        <v>253</v>
      </c>
      <c r="G220" s="43">
        <v>65000</v>
      </c>
      <c r="H220" s="43">
        <v>65000</v>
      </c>
      <c r="I220" s="43">
        <v>1865.5</v>
      </c>
      <c r="J220" s="43">
        <v>4427.58</v>
      </c>
      <c r="K220" s="43">
        <v>1976</v>
      </c>
      <c r="L220" s="43">
        <v>15302.62</v>
      </c>
      <c r="M220" s="44">
        <f t="shared" si="9"/>
        <v>23571.7</v>
      </c>
      <c r="N220" s="44">
        <f t="shared" si="15"/>
        <v>41428.300000000003</v>
      </c>
      <c r="O220" s="52" t="s">
        <v>23</v>
      </c>
    </row>
    <row r="221" spans="1:15" s="39" customFormat="1" x14ac:dyDescent="0.25">
      <c r="A221" s="12"/>
      <c r="B221" s="52">
        <f t="shared" si="16"/>
        <v>216</v>
      </c>
      <c r="C221" s="53" t="s">
        <v>276</v>
      </c>
      <c r="D221" s="54" t="s">
        <v>252</v>
      </c>
      <c r="E221" s="53" t="s">
        <v>25</v>
      </c>
      <c r="F221" s="54" t="s">
        <v>256</v>
      </c>
      <c r="G221" s="43">
        <v>50000</v>
      </c>
      <c r="H221" s="43">
        <v>50000</v>
      </c>
      <c r="I221" s="43">
        <v>1435</v>
      </c>
      <c r="J221" s="43">
        <v>1596.68</v>
      </c>
      <c r="K221" s="43">
        <v>1520</v>
      </c>
      <c r="L221" s="43">
        <v>2246.67</v>
      </c>
      <c r="M221" s="44">
        <f t="shared" si="9"/>
        <v>6798.35</v>
      </c>
      <c r="N221" s="44">
        <f t="shared" si="15"/>
        <v>43201.65</v>
      </c>
      <c r="O221" s="52" t="s">
        <v>19</v>
      </c>
    </row>
    <row r="222" spans="1:15" s="39" customFormat="1" x14ac:dyDescent="0.25">
      <c r="A222" s="12"/>
      <c r="B222" s="52">
        <f t="shared" si="16"/>
        <v>217</v>
      </c>
      <c r="C222" s="53" t="s">
        <v>277</v>
      </c>
      <c r="D222" s="54" t="s">
        <v>252</v>
      </c>
      <c r="E222" s="53" t="s">
        <v>25</v>
      </c>
      <c r="F222" s="54" t="s">
        <v>278</v>
      </c>
      <c r="G222" s="43">
        <v>35000</v>
      </c>
      <c r="H222" s="43">
        <v>35000</v>
      </c>
      <c r="I222" s="43">
        <v>1004.5</v>
      </c>
      <c r="J222" s="43">
        <v>0</v>
      </c>
      <c r="K222" s="43">
        <v>1064</v>
      </c>
      <c r="L222" s="43">
        <v>12324.32</v>
      </c>
      <c r="M222" s="44">
        <f t="shared" si="9"/>
        <v>14392.82</v>
      </c>
      <c r="N222" s="44">
        <f t="shared" si="15"/>
        <v>20607.18</v>
      </c>
      <c r="O222" s="52" t="s">
        <v>23</v>
      </c>
    </row>
    <row r="223" spans="1:15" s="39" customFormat="1" x14ac:dyDescent="0.25">
      <c r="A223" s="12"/>
      <c r="B223" s="52">
        <f t="shared" si="16"/>
        <v>218</v>
      </c>
      <c r="C223" s="53" t="s">
        <v>279</v>
      </c>
      <c r="D223" s="54" t="s">
        <v>252</v>
      </c>
      <c r="E223" s="53" t="s">
        <v>25</v>
      </c>
      <c r="F223" s="54" t="s">
        <v>280</v>
      </c>
      <c r="G223" s="43">
        <v>35000</v>
      </c>
      <c r="H223" s="43">
        <v>35000</v>
      </c>
      <c r="I223" s="43">
        <v>1004.5</v>
      </c>
      <c r="J223" s="43">
        <v>0</v>
      </c>
      <c r="K223" s="43">
        <v>1064</v>
      </c>
      <c r="L223" s="43">
        <v>31.21</v>
      </c>
      <c r="M223" s="44">
        <f t="shared" si="9"/>
        <v>2099.71</v>
      </c>
      <c r="N223" s="44">
        <f t="shared" si="15"/>
        <v>32900.29</v>
      </c>
      <c r="O223" s="52" t="s">
        <v>19</v>
      </c>
    </row>
    <row r="224" spans="1:15" s="39" customFormat="1" x14ac:dyDescent="0.25">
      <c r="A224" s="12"/>
      <c r="B224" s="52">
        <f t="shared" si="16"/>
        <v>219</v>
      </c>
      <c r="C224" s="53" t="s">
        <v>281</v>
      </c>
      <c r="D224" s="54" t="s">
        <v>252</v>
      </c>
      <c r="E224" s="53" t="s">
        <v>25</v>
      </c>
      <c r="F224" s="54" t="s">
        <v>256</v>
      </c>
      <c r="G224" s="43">
        <v>50000</v>
      </c>
      <c r="H224" s="43">
        <v>50000</v>
      </c>
      <c r="I224" s="43">
        <v>1435</v>
      </c>
      <c r="J224" s="43">
        <v>1854</v>
      </c>
      <c r="K224" s="43">
        <v>1520</v>
      </c>
      <c r="L224" s="43">
        <f>531.21+1100+1675</f>
        <v>3306.21</v>
      </c>
      <c r="M224" s="44">
        <f t="shared" si="9"/>
        <v>8115.21</v>
      </c>
      <c r="N224" s="44">
        <f t="shared" si="15"/>
        <v>41884.79</v>
      </c>
      <c r="O224" s="52" t="s">
        <v>23</v>
      </c>
    </row>
    <row r="225" spans="1:15" s="39" customFormat="1" x14ac:dyDescent="0.25">
      <c r="A225" s="12"/>
      <c r="B225" s="52">
        <f t="shared" si="16"/>
        <v>220</v>
      </c>
      <c r="C225" s="53" t="s">
        <v>282</v>
      </c>
      <c r="D225" s="54" t="s">
        <v>252</v>
      </c>
      <c r="E225" s="53" t="s">
        <v>25</v>
      </c>
      <c r="F225" s="54" t="s">
        <v>256</v>
      </c>
      <c r="G225" s="43">
        <v>50000</v>
      </c>
      <c r="H225" s="43">
        <v>50000</v>
      </c>
      <c r="I225" s="43">
        <v>1435</v>
      </c>
      <c r="J225" s="43">
        <v>1854</v>
      </c>
      <c r="K225" s="43">
        <v>1520</v>
      </c>
      <c r="L225" s="43">
        <v>6863.65</v>
      </c>
      <c r="M225" s="44">
        <f t="shared" si="9"/>
        <v>11672.65</v>
      </c>
      <c r="N225" s="44">
        <f t="shared" si="15"/>
        <v>38327.35</v>
      </c>
      <c r="O225" s="52" t="s">
        <v>23</v>
      </c>
    </row>
    <row r="226" spans="1:15" s="39" customFormat="1" x14ac:dyDescent="0.25">
      <c r="A226" s="12"/>
      <c r="B226" s="52">
        <f t="shared" si="16"/>
        <v>221</v>
      </c>
      <c r="C226" s="53" t="s">
        <v>283</v>
      </c>
      <c r="D226" s="54" t="s">
        <v>252</v>
      </c>
      <c r="E226" s="53" t="s">
        <v>25</v>
      </c>
      <c r="F226" s="54" t="s">
        <v>253</v>
      </c>
      <c r="G226" s="43">
        <v>75000</v>
      </c>
      <c r="H226" s="43">
        <v>75000</v>
      </c>
      <c r="I226" s="43">
        <v>2152.5</v>
      </c>
      <c r="J226" s="43">
        <v>6309.38</v>
      </c>
      <c r="K226" s="43">
        <v>2280</v>
      </c>
      <c r="L226" s="43">
        <v>1347.07</v>
      </c>
      <c r="M226" s="44">
        <f t="shared" si="9"/>
        <v>12088.95</v>
      </c>
      <c r="N226" s="44">
        <f t="shared" si="15"/>
        <v>62911.05</v>
      </c>
      <c r="O226" s="52" t="s">
        <v>19</v>
      </c>
    </row>
    <row r="227" spans="1:15" s="39" customFormat="1" x14ac:dyDescent="0.25">
      <c r="A227" s="12"/>
      <c r="B227" s="52">
        <f t="shared" si="16"/>
        <v>222</v>
      </c>
      <c r="C227" s="53" t="s">
        <v>284</v>
      </c>
      <c r="D227" s="54" t="s">
        <v>252</v>
      </c>
      <c r="E227" s="53" t="s">
        <v>25</v>
      </c>
      <c r="F227" s="54" t="s">
        <v>285</v>
      </c>
      <c r="G227" s="43">
        <v>40000</v>
      </c>
      <c r="H227" s="43">
        <v>40000</v>
      </c>
      <c r="I227" s="43">
        <v>1148</v>
      </c>
      <c r="J227" s="43">
        <v>442.65</v>
      </c>
      <c r="K227" s="43">
        <v>1216</v>
      </c>
      <c r="L227" s="43">
        <v>4382.82</v>
      </c>
      <c r="M227" s="44">
        <f t="shared" si="9"/>
        <v>7189.4699999999993</v>
      </c>
      <c r="N227" s="44">
        <f t="shared" si="15"/>
        <v>32810.53</v>
      </c>
      <c r="O227" s="52" t="s">
        <v>19</v>
      </c>
    </row>
    <row r="228" spans="1:15" s="39" customFormat="1" x14ac:dyDescent="0.25">
      <c r="A228" s="12"/>
      <c r="B228" s="52">
        <f t="shared" si="16"/>
        <v>223</v>
      </c>
      <c r="C228" s="53" t="s">
        <v>286</v>
      </c>
      <c r="D228" s="54" t="s">
        <v>252</v>
      </c>
      <c r="E228" s="53" t="s">
        <v>25</v>
      </c>
      <c r="F228" s="54" t="s">
        <v>285</v>
      </c>
      <c r="G228" s="43">
        <v>40000</v>
      </c>
      <c r="H228" s="43">
        <v>40000</v>
      </c>
      <c r="I228" s="43">
        <v>1148</v>
      </c>
      <c r="J228" s="43">
        <v>442.65</v>
      </c>
      <c r="K228" s="43">
        <v>1216</v>
      </c>
      <c r="L228" s="43">
        <f>3925.43+27.21</f>
        <v>3952.64</v>
      </c>
      <c r="M228" s="44">
        <f t="shared" si="9"/>
        <v>6759.29</v>
      </c>
      <c r="N228" s="44">
        <f t="shared" si="15"/>
        <v>33240.71</v>
      </c>
      <c r="O228" s="52" t="s">
        <v>19</v>
      </c>
    </row>
    <row r="229" spans="1:15" s="39" customFormat="1" x14ac:dyDescent="0.25">
      <c r="A229" s="12"/>
      <c r="B229" s="52">
        <f t="shared" si="16"/>
        <v>224</v>
      </c>
      <c r="C229" s="53" t="s">
        <v>287</v>
      </c>
      <c r="D229" s="54" t="s">
        <v>252</v>
      </c>
      <c r="E229" s="53" t="s">
        <v>21</v>
      </c>
      <c r="F229" s="54" t="s">
        <v>253</v>
      </c>
      <c r="G229" s="43">
        <v>75000</v>
      </c>
      <c r="H229" s="43">
        <v>75000</v>
      </c>
      <c r="I229" s="43">
        <v>2152.5</v>
      </c>
      <c r="J229" s="43">
        <v>5966.28</v>
      </c>
      <c r="K229" s="43">
        <v>2280</v>
      </c>
      <c r="L229" s="43">
        <v>45637.88</v>
      </c>
      <c r="M229" s="44">
        <f t="shared" si="9"/>
        <v>56036.659999999996</v>
      </c>
      <c r="N229" s="44">
        <f t="shared" si="15"/>
        <v>18963.340000000004</v>
      </c>
      <c r="O229" s="52" t="s">
        <v>23</v>
      </c>
    </row>
    <row r="230" spans="1:15" s="39" customFormat="1" x14ac:dyDescent="0.25">
      <c r="A230" s="12"/>
      <c r="B230" s="52">
        <f t="shared" si="16"/>
        <v>225</v>
      </c>
      <c r="C230" s="53" t="s">
        <v>288</v>
      </c>
      <c r="D230" s="54" t="s">
        <v>252</v>
      </c>
      <c r="E230" s="53" t="s">
        <v>21</v>
      </c>
      <c r="F230" s="54" t="s">
        <v>262</v>
      </c>
      <c r="G230" s="43">
        <v>85000</v>
      </c>
      <c r="H230" s="43">
        <v>85000</v>
      </c>
      <c r="I230" s="43">
        <v>2439.5</v>
      </c>
      <c r="J230" s="43">
        <v>8576.99</v>
      </c>
      <c r="K230" s="43">
        <v>2584</v>
      </c>
      <c r="L230" s="43">
        <f>4653.18+31.21+100+2762.49+2425</f>
        <v>9971.880000000001</v>
      </c>
      <c r="M230" s="44">
        <f t="shared" si="9"/>
        <v>23572.370000000003</v>
      </c>
      <c r="N230" s="44">
        <f t="shared" si="15"/>
        <v>61427.63</v>
      </c>
      <c r="O230" s="52" t="s">
        <v>19</v>
      </c>
    </row>
    <row r="231" spans="1:15" s="39" customFormat="1" x14ac:dyDescent="0.25">
      <c r="A231" s="12"/>
      <c r="B231" s="52">
        <f t="shared" si="16"/>
        <v>226</v>
      </c>
      <c r="C231" s="53" t="s">
        <v>289</v>
      </c>
      <c r="D231" s="54" t="s">
        <v>252</v>
      </c>
      <c r="E231" s="53" t="s">
        <v>21</v>
      </c>
      <c r="F231" s="54" t="s">
        <v>262</v>
      </c>
      <c r="G231" s="43">
        <v>85000</v>
      </c>
      <c r="H231" s="43">
        <v>85000</v>
      </c>
      <c r="I231" s="43">
        <v>2439.5</v>
      </c>
      <c r="J231" s="43">
        <v>8148.13</v>
      </c>
      <c r="K231" s="43">
        <v>2584</v>
      </c>
      <c r="L231" s="43">
        <v>27786.01</v>
      </c>
      <c r="M231" s="44">
        <f t="shared" si="9"/>
        <v>40957.64</v>
      </c>
      <c r="N231" s="44">
        <f t="shared" si="15"/>
        <v>44042.36</v>
      </c>
      <c r="O231" s="52" t="s">
        <v>23</v>
      </c>
    </row>
    <row r="232" spans="1:15" s="39" customFormat="1" x14ac:dyDescent="0.25">
      <c r="A232" s="12"/>
      <c r="B232" s="60">
        <f>+B231+1</f>
        <v>227</v>
      </c>
      <c r="C232" s="61" t="s">
        <v>291</v>
      </c>
      <c r="D232" s="62" t="s">
        <v>252</v>
      </c>
      <c r="E232" s="61" t="s">
        <v>25</v>
      </c>
      <c r="F232" s="62" t="s">
        <v>285</v>
      </c>
      <c r="G232" s="63">
        <v>40000</v>
      </c>
      <c r="H232" s="63">
        <v>40000</v>
      </c>
      <c r="I232" s="63">
        <v>1148</v>
      </c>
      <c r="J232" s="63">
        <v>442.65</v>
      </c>
      <c r="K232" s="63">
        <v>1216</v>
      </c>
      <c r="L232" s="63">
        <v>131.21</v>
      </c>
      <c r="M232" s="64">
        <f t="shared" si="9"/>
        <v>2937.86</v>
      </c>
      <c r="N232" s="64">
        <f t="shared" si="15"/>
        <v>37062.14</v>
      </c>
      <c r="O232" s="60" t="s">
        <v>19</v>
      </c>
    </row>
    <row r="233" spans="1:15" s="39" customFormat="1" x14ac:dyDescent="0.25">
      <c r="A233" s="12"/>
      <c r="B233" s="52">
        <f t="shared" si="16"/>
        <v>228</v>
      </c>
      <c r="C233" s="53" t="s">
        <v>292</v>
      </c>
      <c r="D233" s="54" t="s">
        <v>252</v>
      </c>
      <c r="E233" s="53" t="s">
        <v>25</v>
      </c>
      <c r="F233" s="54" t="s">
        <v>256</v>
      </c>
      <c r="G233" s="43">
        <v>50000</v>
      </c>
      <c r="H233" s="43">
        <v>50000</v>
      </c>
      <c r="I233" s="43">
        <v>1435</v>
      </c>
      <c r="J233" s="43">
        <v>1854</v>
      </c>
      <c r="K233" s="43">
        <v>1520</v>
      </c>
      <c r="L233" s="43">
        <f>31.21+1000</f>
        <v>1031.21</v>
      </c>
      <c r="M233" s="44">
        <f t="shared" si="9"/>
        <v>5840.21</v>
      </c>
      <c r="N233" s="44">
        <f t="shared" si="15"/>
        <v>44159.79</v>
      </c>
      <c r="O233" s="52" t="s">
        <v>19</v>
      </c>
    </row>
    <row r="234" spans="1:15" s="39" customFormat="1" x14ac:dyDescent="0.25">
      <c r="A234" s="12"/>
      <c r="B234" s="52">
        <f>+B233+1</f>
        <v>229</v>
      </c>
      <c r="C234" s="53" t="s">
        <v>293</v>
      </c>
      <c r="D234" s="54" t="s">
        <v>252</v>
      </c>
      <c r="E234" s="53" t="s">
        <v>21</v>
      </c>
      <c r="F234" s="54" t="s">
        <v>290</v>
      </c>
      <c r="G234" s="43">
        <v>60000</v>
      </c>
      <c r="H234" s="43">
        <v>60000</v>
      </c>
      <c r="I234" s="43">
        <v>1722</v>
      </c>
      <c r="J234" s="43">
        <v>3486.68</v>
      </c>
      <c r="K234" s="43">
        <v>1824</v>
      </c>
      <c r="L234" s="43">
        <v>19714.7</v>
      </c>
      <c r="M234" s="44">
        <f t="shared" si="9"/>
        <v>26747.38</v>
      </c>
      <c r="N234" s="44">
        <f t="shared" si="15"/>
        <v>33252.619999999995</v>
      </c>
      <c r="O234" s="52" t="s">
        <v>19</v>
      </c>
    </row>
    <row r="235" spans="1:15" s="39" customFormat="1" x14ac:dyDescent="0.25">
      <c r="A235" s="12"/>
      <c r="B235" s="52">
        <f t="shared" si="16"/>
        <v>230</v>
      </c>
      <c r="C235" s="53" t="s">
        <v>294</v>
      </c>
      <c r="D235" s="54" t="s">
        <v>252</v>
      </c>
      <c r="E235" s="53" t="s">
        <v>21</v>
      </c>
      <c r="F235" s="54" t="s">
        <v>253</v>
      </c>
      <c r="G235" s="43">
        <v>75000</v>
      </c>
      <c r="H235" s="43">
        <v>75000</v>
      </c>
      <c r="I235" s="43">
        <v>2152.5</v>
      </c>
      <c r="J235" s="43">
        <v>5966.28</v>
      </c>
      <c r="K235" s="43">
        <v>2280</v>
      </c>
      <c r="L235" s="43">
        <f>140+1593.5+750+31.21+100+5000+3425+18262.34+7200+1715.46</f>
        <v>38217.51</v>
      </c>
      <c r="M235" s="44">
        <f t="shared" si="9"/>
        <v>48616.29</v>
      </c>
      <c r="N235" s="44">
        <f t="shared" si="15"/>
        <v>26383.71</v>
      </c>
      <c r="O235" s="52" t="s">
        <v>23</v>
      </c>
    </row>
    <row r="236" spans="1:15" s="39" customFormat="1" x14ac:dyDescent="0.25">
      <c r="A236" s="12"/>
      <c r="B236" s="52">
        <f t="shared" si="16"/>
        <v>231</v>
      </c>
      <c r="C236" s="53" t="s">
        <v>295</v>
      </c>
      <c r="D236" s="54" t="s">
        <v>252</v>
      </c>
      <c r="E236" s="53" t="s">
        <v>21</v>
      </c>
      <c r="F236" s="54" t="s">
        <v>262</v>
      </c>
      <c r="G236" s="43">
        <v>85000</v>
      </c>
      <c r="H236" s="43">
        <v>85000</v>
      </c>
      <c r="I236" s="43">
        <v>2439.5</v>
      </c>
      <c r="J236" s="43">
        <v>8576.99</v>
      </c>
      <c r="K236" s="43">
        <v>2584</v>
      </c>
      <c r="L236" s="43">
        <f>3301.64+31.21</f>
        <v>3332.85</v>
      </c>
      <c r="M236" s="44">
        <f t="shared" si="9"/>
        <v>16933.34</v>
      </c>
      <c r="N236" s="44">
        <f>+G236-M236</f>
        <v>68066.66</v>
      </c>
      <c r="O236" s="52" t="s">
        <v>19</v>
      </c>
    </row>
    <row r="237" spans="1:15" s="39" customFormat="1" x14ac:dyDescent="0.25">
      <c r="A237" s="12"/>
      <c r="B237" s="52">
        <f t="shared" si="16"/>
        <v>232</v>
      </c>
      <c r="C237" s="53" t="s">
        <v>296</v>
      </c>
      <c r="D237" s="54" t="s">
        <v>252</v>
      </c>
      <c r="E237" s="53" t="s">
        <v>21</v>
      </c>
      <c r="F237" s="54" t="s">
        <v>290</v>
      </c>
      <c r="G237" s="43">
        <v>60000</v>
      </c>
      <c r="H237" s="43">
        <v>60000</v>
      </c>
      <c r="I237" s="43">
        <v>1722</v>
      </c>
      <c r="J237" s="43">
        <v>3486.68</v>
      </c>
      <c r="K237" s="43">
        <v>1824</v>
      </c>
      <c r="L237" s="43">
        <f>8241.51+600+31.21+100+2000+9792.62</f>
        <v>20765.34</v>
      </c>
      <c r="M237" s="44">
        <f t="shared" si="9"/>
        <v>27798.02</v>
      </c>
      <c r="N237" s="44">
        <f t="shared" si="15"/>
        <v>32201.98</v>
      </c>
      <c r="O237" s="52" t="s">
        <v>19</v>
      </c>
    </row>
    <row r="238" spans="1:15" s="39" customFormat="1" x14ac:dyDescent="0.25">
      <c r="A238" s="12"/>
      <c r="B238" s="52">
        <f t="shared" si="16"/>
        <v>233</v>
      </c>
      <c r="C238" s="53" t="s">
        <v>297</v>
      </c>
      <c r="D238" s="54" t="s">
        <v>252</v>
      </c>
      <c r="E238" s="53" t="s">
        <v>21</v>
      </c>
      <c r="F238" s="54" t="s">
        <v>253</v>
      </c>
      <c r="G238" s="43">
        <v>75000</v>
      </c>
      <c r="H238" s="43">
        <v>75000</v>
      </c>
      <c r="I238" s="43">
        <v>2152.5</v>
      </c>
      <c r="J238" s="43">
        <v>6309.38</v>
      </c>
      <c r="K238" s="43">
        <v>2280</v>
      </c>
      <c r="L238" s="43">
        <f>415.86+31.21+100+3000</f>
        <v>3547.0699999999997</v>
      </c>
      <c r="M238" s="44">
        <f>+L238+K238+J238+I238</f>
        <v>14288.95</v>
      </c>
      <c r="N238" s="44">
        <f>+G238-M238</f>
        <v>60711.05</v>
      </c>
      <c r="O238" s="52" t="s">
        <v>19</v>
      </c>
    </row>
    <row r="239" spans="1:15" s="39" customFormat="1" x14ac:dyDescent="0.25">
      <c r="A239" s="12"/>
      <c r="B239" s="52">
        <f t="shared" si="16"/>
        <v>234</v>
      </c>
      <c r="C239" s="53" t="s">
        <v>298</v>
      </c>
      <c r="D239" s="54" t="s">
        <v>252</v>
      </c>
      <c r="E239" s="53" t="s">
        <v>21</v>
      </c>
      <c r="F239" s="54" t="s">
        <v>253</v>
      </c>
      <c r="G239" s="43">
        <v>75000</v>
      </c>
      <c r="H239" s="43">
        <v>75000</v>
      </c>
      <c r="I239" s="43">
        <v>2152.5</v>
      </c>
      <c r="J239" s="43">
        <v>6309.38</v>
      </c>
      <c r="K239" s="43">
        <v>2280</v>
      </c>
      <c r="L239" s="43">
        <v>40716.550000000003</v>
      </c>
      <c r="M239" s="44">
        <f t="shared" si="9"/>
        <v>51458.430000000008</v>
      </c>
      <c r="N239" s="44">
        <f t="shared" si="15"/>
        <v>23541.569999999992</v>
      </c>
      <c r="O239" s="52" t="s">
        <v>23</v>
      </c>
    </row>
    <row r="240" spans="1:15" s="39" customFormat="1" x14ac:dyDescent="0.25">
      <c r="A240" s="12"/>
      <c r="B240" s="52">
        <f t="shared" si="16"/>
        <v>235</v>
      </c>
      <c r="C240" s="53" t="s">
        <v>299</v>
      </c>
      <c r="D240" s="54" t="s">
        <v>252</v>
      </c>
      <c r="E240" s="53" t="s">
        <v>25</v>
      </c>
      <c r="F240" s="54" t="s">
        <v>258</v>
      </c>
      <c r="G240" s="43">
        <v>95000</v>
      </c>
      <c r="H240" s="43">
        <v>95000</v>
      </c>
      <c r="I240" s="43">
        <v>2726.5</v>
      </c>
      <c r="J240" s="43">
        <v>10929.24</v>
      </c>
      <c r="K240" s="43">
        <v>2888</v>
      </c>
      <c r="L240" s="43">
        <f>3695.48+29.21+100+1500</f>
        <v>5324.6900000000005</v>
      </c>
      <c r="M240" s="44">
        <f>+L240+K240+J240+I240</f>
        <v>21868.43</v>
      </c>
      <c r="N240" s="44">
        <f>+G240-M240</f>
        <v>73131.570000000007</v>
      </c>
      <c r="O240" s="52" t="s">
        <v>23</v>
      </c>
    </row>
    <row r="241" spans="1:15" s="39" customFormat="1" x14ac:dyDescent="0.25">
      <c r="A241" s="12"/>
      <c r="B241" s="52">
        <f t="shared" si="16"/>
        <v>236</v>
      </c>
      <c r="C241" s="53" t="s">
        <v>300</v>
      </c>
      <c r="D241" s="54" t="s">
        <v>252</v>
      </c>
      <c r="E241" s="53" t="s">
        <v>21</v>
      </c>
      <c r="F241" s="54" t="s">
        <v>258</v>
      </c>
      <c r="G241" s="43">
        <v>95000</v>
      </c>
      <c r="H241" s="43">
        <v>95000</v>
      </c>
      <c r="I241" s="43">
        <v>2726.5</v>
      </c>
      <c r="J241" s="43">
        <v>10500.38</v>
      </c>
      <c r="K241" s="43">
        <v>2888</v>
      </c>
      <c r="L241" s="43">
        <f>1923.33+31.21+100+2000+1715.46</f>
        <v>5770</v>
      </c>
      <c r="M241" s="44">
        <f t="shared" si="9"/>
        <v>21884.879999999997</v>
      </c>
      <c r="N241" s="44">
        <f t="shared" si="15"/>
        <v>73115.12</v>
      </c>
      <c r="O241" s="52" t="s">
        <v>19</v>
      </c>
    </row>
    <row r="242" spans="1:15" s="39" customFormat="1" x14ac:dyDescent="0.25">
      <c r="A242" s="12"/>
      <c r="B242" s="52">
        <f t="shared" si="16"/>
        <v>237</v>
      </c>
      <c r="C242" s="53" t="s">
        <v>301</v>
      </c>
      <c r="D242" s="54" t="s">
        <v>252</v>
      </c>
      <c r="E242" s="53" t="s">
        <v>21</v>
      </c>
      <c r="F242" s="54" t="s">
        <v>253</v>
      </c>
      <c r="G242" s="43">
        <v>75000</v>
      </c>
      <c r="H242" s="43">
        <v>75000</v>
      </c>
      <c r="I242" s="43">
        <v>2152.5</v>
      </c>
      <c r="J242" s="43">
        <v>5966.28</v>
      </c>
      <c r="K242" s="43">
        <v>2280</v>
      </c>
      <c r="L242" s="43">
        <v>12755.15</v>
      </c>
      <c r="M242" s="44">
        <f t="shared" si="9"/>
        <v>23153.93</v>
      </c>
      <c r="N242" s="44">
        <f t="shared" si="15"/>
        <v>51846.07</v>
      </c>
      <c r="O242" s="52" t="s">
        <v>23</v>
      </c>
    </row>
    <row r="243" spans="1:15" s="39" customFormat="1" x14ac:dyDescent="0.25">
      <c r="A243" s="12"/>
      <c r="B243" s="52">
        <f t="shared" si="16"/>
        <v>238</v>
      </c>
      <c r="C243" s="53" t="s">
        <v>302</v>
      </c>
      <c r="D243" s="54" t="s">
        <v>252</v>
      </c>
      <c r="E243" s="53" t="s">
        <v>21</v>
      </c>
      <c r="F243" s="54" t="s">
        <v>253</v>
      </c>
      <c r="G243" s="43">
        <v>75000</v>
      </c>
      <c r="H243" s="43">
        <v>75000</v>
      </c>
      <c r="I243" s="43">
        <v>2152.5</v>
      </c>
      <c r="J243" s="43">
        <v>5966.28</v>
      </c>
      <c r="K243" s="43">
        <v>2280</v>
      </c>
      <c r="L243" s="43">
        <f>31.21+5100+17795.56+1715.46+2637.48-1715.46</f>
        <v>25564.25</v>
      </c>
      <c r="M243" s="44">
        <f t="shared" si="9"/>
        <v>35963.03</v>
      </c>
      <c r="N243" s="44">
        <f t="shared" si="15"/>
        <v>39036.97</v>
      </c>
      <c r="O243" s="52" t="s">
        <v>23</v>
      </c>
    </row>
    <row r="244" spans="1:15" s="39" customFormat="1" x14ac:dyDescent="0.25">
      <c r="A244" s="12"/>
      <c r="B244" s="52">
        <f t="shared" si="16"/>
        <v>239</v>
      </c>
      <c r="C244" s="53" t="s">
        <v>303</v>
      </c>
      <c r="D244" s="54" t="s">
        <v>252</v>
      </c>
      <c r="E244" s="53" t="s">
        <v>25</v>
      </c>
      <c r="F244" s="54" t="s">
        <v>262</v>
      </c>
      <c r="G244" s="43">
        <v>85000</v>
      </c>
      <c r="H244" s="43">
        <v>85000</v>
      </c>
      <c r="I244" s="43">
        <v>2439.5</v>
      </c>
      <c r="J244" s="43">
        <v>8576.99</v>
      </c>
      <c r="K244" s="43">
        <v>2584</v>
      </c>
      <c r="L244" s="43">
        <f>8865.29+27.21+100</f>
        <v>8992.5</v>
      </c>
      <c r="M244" s="44">
        <f t="shared" si="9"/>
        <v>22592.989999999998</v>
      </c>
      <c r="N244" s="44">
        <f t="shared" si="15"/>
        <v>62407.01</v>
      </c>
      <c r="O244" s="52" t="s">
        <v>19</v>
      </c>
    </row>
    <row r="245" spans="1:15" s="39" customFormat="1" x14ac:dyDescent="0.25">
      <c r="A245" s="12"/>
      <c r="B245" s="52">
        <f t="shared" si="16"/>
        <v>240</v>
      </c>
      <c r="C245" s="53" t="s">
        <v>304</v>
      </c>
      <c r="D245" s="54" t="s">
        <v>252</v>
      </c>
      <c r="E245" s="53" t="s">
        <v>25</v>
      </c>
      <c r="F245" s="54" t="s">
        <v>262</v>
      </c>
      <c r="G245" s="43">
        <v>38967.5</v>
      </c>
      <c r="H245" s="43">
        <v>38967.5</v>
      </c>
      <c r="I245" s="43">
        <v>1118.3699999999999</v>
      </c>
      <c r="J245" s="43">
        <v>296.93</v>
      </c>
      <c r="K245" s="43">
        <v>1184.6099999999999</v>
      </c>
      <c r="L245" s="43">
        <f>1039.64+31.21+100+1000</f>
        <v>2170.8500000000004</v>
      </c>
      <c r="M245" s="44">
        <f t="shared" si="9"/>
        <v>4770.76</v>
      </c>
      <c r="N245" s="44">
        <f t="shared" si="15"/>
        <v>34196.74</v>
      </c>
      <c r="O245" s="52" t="s">
        <v>23</v>
      </c>
    </row>
    <row r="246" spans="1:15" s="39" customFormat="1" x14ac:dyDescent="0.25">
      <c r="A246" s="12"/>
      <c r="B246" s="60">
        <f t="shared" si="16"/>
        <v>241</v>
      </c>
      <c r="C246" s="61" t="s">
        <v>305</v>
      </c>
      <c r="D246" s="62" t="s">
        <v>252</v>
      </c>
      <c r="E246" s="61" t="s">
        <v>21</v>
      </c>
      <c r="F246" s="62" t="s">
        <v>253</v>
      </c>
      <c r="G246" s="63">
        <v>75000</v>
      </c>
      <c r="H246" s="63">
        <v>75000</v>
      </c>
      <c r="I246" s="63">
        <v>2152.5</v>
      </c>
      <c r="J246" s="63">
        <v>6309.38</v>
      </c>
      <c r="K246" s="63">
        <v>2280</v>
      </c>
      <c r="L246" s="63">
        <v>12533.69</v>
      </c>
      <c r="M246" s="64">
        <f>+L246+K246+J246+I246</f>
        <v>23275.57</v>
      </c>
      <c r="N246" s="64">
        <f>+G246-M246</f>
        <v>51724.43</v>
      </c>
      <c r="O246" s="60" t="s">
        <v>19</v>
      </c>
    </row>
    <row r="247" spans="1:15" s="39" customFormat="1" x14ac:dyDescent="0.25">
      <c r="A247" s="12"/>
      <c r="B247" s="52">
        <f t="shared" si="16"/>
        <v>242</v>
      </c>
      <c r="C247" s="53" t="s">
        <v>306</v>
      </c>
      <c r="D247" s="54" t="s">
        <v>252</v>
      </c>
      <c r="E247" s="53" t="s">
        <v>25</v>
      </c>
      <c r="F247" s="54" t="s">
        <v>253</v>
      </c>
      <c r="G247" s="43">
        <v>50000</v>
      </c>
      <c r="H247" s="43">
        <v>50000</v>
      </c>
      <c r="I247" s="43">
        <v>1435</v>
      </c>
      <c r="J247" s="43">
        <v>1854</v>
      </c>
      <c r="K247" s="43">
        <v>1520</v>
      </c>
      <c r="L247" s="43">
        <v>629.21</v>
      </c>
      <c r="M247" s="44">
        <f t="shared" ref="M247:M308" si="17">SUM(I247:L247)</f>
        <v>5438.21</v>
      </c>
      <c r="N247" s="44">
        <f t="shared" ref="N247:N310" si="18">G247-M247</f>
        <v>44561.79</v>
      </c>
      <c r="O247" s="52" t="s">
        <v>19</v>
      </c>
    </row>
    <row r="248" spans="1:15" s="39" customFormat="1" x14ac:dyDescent="0.25">
      <c r="A248" s="12"/>
      <c r="B248" s="52">
        <f t="shared" si="16"/>
        <v>243</v>
      </c>
      <c r="C248" s="53" t="s">
        <v>307</v>
      </c>
      <c r="D248" s="54" t="s">
        <v>252</v>
      </c>
      <c r="E248" s="53" t="s">
        <v>21</v>
      </c>
      <c r="F248" s="54" t="s">
        <v>253</v>
      </c>
      <c r="G248" s="43">
        <v>75000</v>
      </c>
      <c r="H248" s="43">
        <v>75000</v>
      </c>
      <c r="I248" s="43">
        <v>2152.5</v>
      </c>
      <c r="J248" s="43">
        <v>5966.28</v>
      </c>
      <c r="K248" s="43">
        <v>2280</v>
      </c>
      <c r="L248" s="43">
        <v>25046.67</v>
      </c>
      <c r="M248" s="44">
        <f t="shared" si="17"/>
        <v>35445.449999999997</v>
      </c>
      <c r="N248" s="44">
        <f t="shared" si="18"/>
        <v>39554.550000000003</v>
      </c>
      <c r="O248" s="52" t="s">
        <v>19</v>
      </c>
    </row>
    <row r="249" spans="1:15" s="39" customFormat="1" x14ac:dyDescent="0.25">
      <c r="A249" s="12"/>
      <c r="B249" s="60">
        <f t="shared" si="16"/>
        <v>244</v>
      </c>
      <c r="C249" s="61" t="s">
        <v>308</v>
      </c>
      <c r="D249" s="62" t="s">
        <v>252</v>
      </c>
      <c r="E249" s="61" t="s">
        <v>21</v>
      </c>
      <c r="F249" s="62" t="s">
        <v>253</v>
      </c>
      <c r="G249" s="63">
        <v>75000</v>
      </c>
      <c r="H249" s="63">
        <v>75000</v>
      </c>
      <c r="I249" s="63">
        <v>2152.5</v>
      </c>
      <c r="J249" s="63">
        <v>6309.38</v>
      </c>
      <c r="K249" s="63">
        <v>2280</v>
      </c>
      <c r="L249" s="63">
        <v>18950.03</v>
      </c>
      <c r="M249" s="64">
        <f t="shared" si="17"/>
        <v>29691.91</v>
      </c>
      <c r="N249" s="64">
        <f t="shared" si="18"/>
        <v>45308.09</v>
      </c>
      <c r="O249" s="60" t="s">
        <v>19</v>
      </c>
    </row>
    <row r="250" spans="1:15" s="39" customFormat="1" x14ac:dyDescent="0.25">
      <c r="A250" s="37"/>
      <c r="B250" s="52">
        <f t="shared" si="16"/>
        <v>245</v>
      </c>
      <c r="C250" s="53" t="s">
        <v>309</v>
      </c>
      <c r="D250" s="54" t="s">
        <v>252</v>
      </c>
      <c r="E250" s="53" t="s">
        <v>21</v>
      </c>
      <c r="F250" s="54" t="s">
        <v>290</v>
      </c>
      <c r="G250" s="43">
        <v>60000</v>
      </c>
      <c r="H250" s="43">
        <v>60000</v>
      </c>
      <c r="I250" s="43">
        <v>1722</v>
      </c>
      <c r="J250" s="43">
        <v>3486.68</v>
      </c>
      <c r="K250" s="43">
        <v>1824</v>
      </c>
      <c r="L250" s="43">
        <v>17031.91</v>
      </c>
      <c r="M250" s="44">
        <f t="shared" si="17"/>
        <v>24064.59</v>
      </c>
      <c r="N250" s="44">
        <f t="shared" si="18"/>
        <v>35935.410000000003</v>
      </c>
      <c r="O250" s="52" t="s">
        <v>19</v>
      </c>
    </row>
    <row r="251" spans="1:15" s="39" customFormat="1" x14ac:dyDescent="0.25">
      <c r="A251" s="12"/>
      <c r="B251" s="52">
        <f t="shared" si="16"/>
        <v>246</v>
      </c>
      <c r="C251" s="53" t="s">
        <v>310</v>
      </c>
      <c r="D251" s="54" t="s">
        <v>252</v>
      </c>
      <c r="E251" s="53" t="s">
        <v>21</v>
      </c>
      <c r="F251" s="54" t="s">
        <v>253</v>
      </c>
      <c r="G251" s="43">
        <v>75000</v>
      </c>
      <c r="H251" s="43">
        <v>75000</v>
      </c>
      <c r="I251" s="43">
        <v>2152.5</v>
      </c>
      <c r="J251" s="43">
        <v>6309.38</v>
      </c>
      <c r="K251" s="43">
        <v>2280</v>
      </c>
      <c r="L251" s="43">
        <v>39276.51</v>
      </c>
      <c r="M251" s="44">
        <f t="shared" si="17"/>
        <v>50018.39</v>
      </c>
      <c r="N251" s="44">
        <f t="shared" si="18"/>
        <v>24981.61</v>
      </c>
      <c r="O251" s="52" t="s">
        <v>23</v>
      </c>
    </row>
    <row r="252" spans="1:15" s="39" customFormat="1" x14ac:dyDescent="0.25">
      <c r="A252" s="12"/>
      <c r="B252" s="52">
        <f t="shared" si="16"/>
        <v>247</v>
      </c>
      <c r="C252" s="53" t="s">
        <v>311</v>
      </c>
      <c r="D252" s="54" t="s">
        <v>252</v>
      </c>
      <c r="E252" s="53" t="s">
        <v>25</v>
      </c>
      <c r="F252" s="54" t="s">
        <v>258</v>
      </c>
      <c r="G252" s="43">
        <v>95000</v>
      </c>
      <c r="H252" s="43">
        <v>95000</v>
      </c>
      <c r="I252" s="43">
        <v>2726.5</v>
      </c>
      <c r="J252" s="43">
        <v>10929.24</v>
      </c>
      <c r="K252" s="43">
        <v>2888</v>
      </c>
      <c r="L252" s="43">
        <f>5583.4+55.7</f>
        <v>5639.0999999999995</v>
      </c>
      <c r="M252" s="44">
        <f>+L252+K252+J252+I252</f>
        <v>22182.839999999997</v>
      </c>
      <c r="N252" s="44">
        <f t="shared" si="18"/>
        <v>72817.16</v>
      </c>
      <c r="O252" s="52" t="s">
        <v>19</v>
      </c>
    </row>
    <row r="253" spans="1:15" s="39" customFormat="1" x14ac:dyDescent="0.25">
      <c r="A253" s="12"/>
      <c r="B253" s="52">
        <f t="shared" si="16"/>
        <v>248</v>
      </c>
      <c r="C253" s="53" t="s">
        <v>312</v>
      </c>
      <c r="D253" s="54" t="s">
        <v>252</v>
      </c>
      <c r="E253" s="53" t="s">
        <v>21</v>
      </c>
      <c r="F253" s="54" t="s">
        <v>258</v>
      </c>
      <c r="G253" s="43">
        <v>95000</v>
      </c>
      <c r="H253" s="43">
        <v>95000</v>
      </c>
      <c r="I253" s="43">
        <v>2726.5</v>
      </c>
      <c r="J253" s="43">
        <v>10500</v>
      </c>
      <c r="K253" s="43">
        <v>2888</v>
      </c>
      <c r="L253" s="43">
        <f>831.71+31.21+100+1715.46</f>
        <v>2678.38</v>
      </c>
      <c r="M253" s="44">
        <f t="shared" si="17"/>
        <v>18792.88</v>
      </c>
      <c r="N253" s="44">
        <f t="shared" si="18"/>
        <v>76207.12</v>
      </c>
      <c r="O253" s="52" t="s">
        <v>19</v>
      </c>
    </row>
    <row r="254" spans="1:15" s="39" customFormat="1" x14ac:dyDescent="0.25">
      <c r="A254" s="12"/>
      <c r="B254" s="52">
        <f t="shared" si="16"/>
        <v>249</v>
      </c>
      <c r="C254" s="53" t="s">
        <v>313</v>
      </c>
      <c r="D254" s="54" t="s">
        <v>252</v>
      </c>
      <c r="E254" s="53" t="s">
        <v>25</v>
      </c>
      <c r="F254" s="54" t="s">
        <v>262</v>
      </c>
      <c r="G254" s="43">
        <v>85000</v>
      </c>
      <c r="H254" s="43">
        <v>85000</v>
      </c>
      <c r="I254" s="43">
        <v>2439.5</v>
      </c>
      <c r="J254" s="43">
        <v>8148.13</v>
      </c>
      <c r="K254" s="43">
        <v>2584</v>
      </c>
      <c r="L254" s="43">
        <f>1455.5+27.21+100+18679.07+2225+1715.46</f>
        <v>24202.239999999998</v>
      </c>
      <c r="M254" s="44">
        <f>+L254+K254+J254+I254</f>
        <v>37373.869999999995</v>
      </c>
      <c r="N254" s="44">
        <f>+G254-M254</f>
        <v>47626.130000000005</v>
      </c>
      <c r="O254" s="52" t="s">
        <v>19</v>
      </c>
    </row>
    <row r="255" spans="1:15" s="39" customFormat="1" x14ac:dyDescent="0.25">
      <c r="A255" s="12"/>
      <c r="B255" s="52">
        <f t="shared" si="16"/>
        <v>250</v>
      </c>
      <c r="C255" s="53" t="s">
        <v>314</v>
      </c>
      <c r="D255" s="54" t="s">
        <v>252</v>
      </c>
      <c r="E255" s="53" t="s">
        <v>21</v>
      </c>
      <c r="F255" s="54" t="s">
        <v>262</v>
      </c>
      <c r="G255" s="43">
        <v>85000</v>
      </c>
      <c r="H255" s="43">
        <v>85000</v>
      </c>
      <c r="I255" s="43">
        <v>2439.5</v>
      </c>
      <c r="J255" s="43">
        <v>8576.99</v>
      </c>
      <c r="K255" s="43">
        <v>2584</v>
      </c>
      <c r="L255" s="43">
        <v>3232.19</v>
      </c>
      <c r="M255" s="44">
        <f t="shared" si="17"/>
        <v>16832.68</v>
      </c>
      <c r="N255" s="44">
        <f t="shared" si="18"/>
        <v>68167.320000000007</v>
      </c>
      <c r="O255" s="52" t="s">
        <v>19</v>
      </c>
    </row>
    <row r="256" spans="1:15" s="39" customFormat="1" x14ac:dyDescent="0.25">
      <c r="A256" s="37"/>
      <c r="B256" s="52">
        <f t="shared" si="16"/>
        <v>251</v>
      </c>
      <c r="C256" s="53" t="s">
        <v>315</v>
      </c>
      <c r="D256" s="54" t="s">
        <v>252</v>
      </c>
      <c r="E256" s="53" t="s">
        <v>21</v>
      </c>
      <c r="F256" s="54" t="s">
        <v>262</v>
      </c>
      <c r="G256" s="43">
        <v>85000</v>
      </c>
      <c r="H256" s="43">
        <v>85000</v>
      </c>
      <c r="I256" s="43">
        <v>2439.5</v>
      </c>
      <c r="J256" s="43">
        <v>8148.13</v>
      </c>
      <c r="K256" s="43">
        <v>2584</v>
      </c>
      <c r="L256" s="43">
        <f>131.21+1000+1715.46+2975</f>
        <v>5821.67</v>
      </c>
      <c r="M256" s="44">
        <f>+L256+K256+J256+I256</f>
        <v>18993.3</v>
      </c>
      <c r="N256" s="44">
        <f t="shared" si="18"/>
        <v>66006.7</v>
      </c>
      <c r="O256" s="52" t="s">
        <v>23</v>
      </c>
    </row>
    <row r="257" spans="1:15" s="39" customFormat="1" x14ac:dyDescent="0.25">
      <c r="A257" s="12"/>
      <c r="B257" s="52">
        <f t="shared" si="16"/>
        <v>252</v>
      </c>
      <c r="C257" s="53" t="s">
        <v>316</v>
      </c>
      <c r="D257" s="54" t="s">
        <v>252</v>
      </c>
      <c r="E257" s="53" t="s">
        <v>25</v>
      </c>
      <c r="F257" s="54" t="s">
        <v>290</v>
      </c>
      <c r="G257" s="43">
        <v>60000</v>
      </c>
      <c r="H257" s="43">
        <v>60000</v>
      </c>
      <c r="I257" s="43">
        <v>1722</v>
      </c>
      <c r="J257" s="43">
        <v>3486.68</v>
      </c>
      <c r="K257" s="43">
        <v>1824</v>
      </c>
      <c r="L257" s="43">
        <f>2655.84+29.21+100</f>
        <v>2785.05</v>
      </c>
      <c r="M257" s="44">
        <f t="shared" si="17"/>
        <v>9817.73</v>
      </c>
      <c r="N257" s="44">
        <f t="shared" si="18"/>
        <v>50182.270000000004</v>
      </c>
      <c r="O257" s="52" t="s">
        <v>19</v>
      </c>
    </row>
    <row r="258" spans="1:15" s="39" customFormat="1" x14ac:dyDescent="0.25">
      <c r="A258" s="12"/>
      <c r="B258" s="52">
        <f>+B257+1</f>
        <v>253</v>
      </c>
      <c r="C258" s="53" t="s">
        <v>317</v>
      </c>
      <c r="D258" s="54" t="s">
        <v>252</v>
      </c>
      <c r="E258" s="53" t="s">
        <v>21</v>
      </c>
      <c r="F258" s="54" t="s">
        <v>253</v>
      </c>
      <c r="G258" s="43">
        <v>75000</v>
      </c>
      <c r="H258" s="43">
        <v>75000</v>
      </c>
      <c r="I258" s="43">
        <v>2152.5</v>
      </c>
      <c r="J258" s="43">
        <v>6309.38</v>
      </c>
      <c r="K258" s="43">
        <v>2280</v>
      </c>
      <c r="L258" s="43">
        <f>31.21+100+1000+7344.46</f>
        <v>8475.67</v>
      </c>
      <c r="M258" s="44">
        <f t="shared" si="17"/>
        <v>19217.550000000003</v>
      </c>
      <c r="N258" s="44">
        <f t="shared" si="18"/>
        <v>55782.45</v>
      </c>
      <c r="O258" s="52" t="s">
        <v>19</v>
      </c>
    </row>
    <row r="259" spans="1:15" s="39" customFormat="1" x14ac:dyDescent="0.25">
      <c r="A259" s="12"/>
      <c r="B259" s="52">
        <f t="shared" si="16"/>
        <v>254</v>
      </c>
      <c r="C259" s="53" t="s">
        <v>318</v>
      </c>
      <c r="D259" s="54" t="s">
        <v>252</v>
      </c>
      <c r="E259" s="53" t="s">
        <v>21</v>
      </c>
      <c r="F259" s="54" t="s">
        <v>262</v>
      </c>
      <c r="G259" s="43">
        <v>85000</v>
      </c>
      <c r="H259" s="43">
        <v>85000</v>
      </c>
      <c r="I259" s="43">
        <v>2439.5</v>
      </c>
      <c r="J259" s="43">
        <v>8576.99</v>
      </c>
      <c r="K259" s="43">
        <v>2584</v>
      </c>
      <c r="L259" s="43">
        <f>3717.5+31.21+100+500</f>
        <v>4348.71</v>
      </c>
      <c r="M259" s="44">
        <f>+L259+K259+J259+I259</f>
        <v>17949.2</v>
      </c>
      <c r="N259" s="44">
        <f>+G259-M259</f>
        <v>67050.8</v>
      </c>
      <c r="O259" s="52" t="s">
        <v>19</v>
      </c>
    </row>
    <row r="260" spans="1:15" s="39" customFormat="1" x14ac:dyDescent="0.25">
      <c r="A260" s="12"/>
      <c r="B260" s="52">
        <f t="shared" si="16"/>
        <v>255</v>
      </c>
      <c r="C260" s="53" t="s">
        <v>319</v>
      </c>
      <c r="D260" s="54" t="s">
        <v>252</v>
      </c>
      <c r="E260" s="53" t="s">
        <v>21</v>
      </c>
      <c r="F260" s="54" t="s">
        <v>262</v>
      </c>
      <c r="G260" s="43">
        <v>85000</v>
      </c>
      <c r="H260" s="43">
        <v>85000</v>
      </c>
      <c r="I260" s="43">
        <v>2439.5</v>
      </c>
      <c r="J260" s="43">
        <v>8148.13</v>
      </c>
      <c r="K260" s="43">
        <v>2584</v>
      </c>
      <c r="L260" s="43">
        <f>831.71+31.21+100+2000+24780.74+2175+1715.46</f>
        <v>31634.120000000003</v>
      </c>
      <c r="M260" s="44">
        <f t="shared" si="17"/>
        <v>44805.75</v>
      </c>
      <c r="N260" s="44">
        <f t="shared" si="18"/>
        <v>40194.25</v>
      </c>
      <c r="O260" s="52" t="s">
        <v>23</v>
      </c>
    </row>
    <row r="261" spans="1:15" s="39" customFormat="1" x14ac:dyDescent="0.25">
      <c r="A261" s="12"/>
      <c r="B261" s="52">
        <f t="shared" si="16"/>
        <v>256</v>
      </c>
      <c r="C261" s="53" t="s">
        <v>320</v>
      </c>
      <c r="D261" s="54" t="s">
        <v>252</v>
      </c>
      <c r="E261" s="53" t="s">
        <v>21</v>
      </c>
      <c r="F261" s="54" t="s">
        <v>262</v>
      </c>
      <c r="G261" s="43">
        <v>85000</v>
      </c>
      <c r="H261" s="43">
        <v>85000</v>
      </c>
      <c r="I261" s="43">
        <v>2439.5</v>
      </c>
      <c r="J261" s="43">
        <v>8576.99</v>
      </c>
      <c r="K261" s="43">
        <v>2584</v>
      </c>
      <c r="L261" s="43">
        <f>415.86+31.21+100</f>
        <v>547.06999999999994</v>
      </c>
      <c r="M261" s="44">
        <f t="shared" si="17"/>
        <v>14147.56</v>
      </c>
      <c r="N261" s="44">
        <f t="shared" si="18"/>
        <v>70852.44</v>
      </c>
      <c r="O261" s="52" t="s">
        <v>23</v>
      </c>
    </row>
    <row r="262" spans="1:15" s="39" customFormat="1" x14ac:dyDescent="0.25">
      <c r="A262" s="12"/>
      <c r="B262" s="52">
        <f t="shared" si="16"/>
        <v>257</v>
      </c>
      <c r="C262" s="53" t="s">
        <v>321</v>
      </c>
      <c r="D262" s="54" t="s">
        <v>252</v>
      </c>
      <c r="E262" s="53" t="s">
        <v>21</v>
      </c>
      <c r="F262" s="54" t="s">
        <v>262</v>
      </c>
      <c r="G262" s="43">
        <v>85000</v>
      </c>
      <c r="H262" s="43">
        <v>85000</v>
      </c>
      <c r="I262" s="43">
        <v>2439.5</v>
      </c>
      <c r="J262" s="43">
        <v>8148.13</v>
      </c>
      <c r="K262" s="43">
        <v>2584</v>
      </c>
      <c r="L262" s="43">
        <v>2346.67</v>
      </c>
      <c r="M262" s="44">
        <f t="shared" si="17"/>
        <v>15518.300000000001</v>
      </c>
      <c r="N262" s="44">
        <f t="shared" si="18"/>
        <v>69481.7</v>
      </c>
      <c r="O262" s="52" t="s">
        <v>19</v>
      </c>
    </row>
    <row r="263" spans="1:15" s="39" customFormat="1" x14ac:dyDescent="0.25">
      <c r="A263" s="12"/>
      <c r="B263" s="52">
        <f t="shared" si="16"/>
        <v>258</v>
      </c>
      <c r="C263" s="53" t="s">
        <v>322</v>
      </c>
      <c r="D263" s="54" t="s">
        <v>252</v>
      </c>
      <c r="E263" s="53" t="s">
        <v>25</v>
      </c>
      <c r="F263" s="54" t="s">
        <v>253</v>
      </c>
      <c r="G263" s="43">
        <v>35000</v>
      </c>
      <c r="H263" s="43">
        <v>35000</v>
      </c>
      <c r="I263" s="43">
        <v>1004.5</v>
      </c>
      <c r="J263" s="43">
        <v>0</v>
      </c>
      <c r="K263" s="43">
        <v>1064</v>
      </c>
      <c r="L263" s="43">
        <v>26010.97</v>
      </c>
      <c r="M263" s="44">
        <f t="shared" si="17"/>
        <v>28079.47</v>
      </c>
      <c r="N263" s="44">
        <f t="shared" si="18"/>
        <v>6920.5299999999988</v>
      </c>
      <c r="O263" s="52" t="s">
        <v>23</v>
      </c>
    </row>
    <row r="264" spans="1:15" s="39" customFormat="1" x14ac:dyDescent="0.25">
      <c r="A264" s="12"/>
      <c r="B264" s="52">
        <f t="shared" si="16"/>
        <v>259</v>
      </c>
      <c r="C264" s="53" t="s">
        <v>323</v>
      </c>
      <c r="D264" s="54" t="s">
        <v>252</v>
      </c>
      <c r="E264" s="53" t="s">
        <v>21</v>
      </c>
      <c r="F264" s="54" t="s">
        <v>253</v>
      </c>
      <c r="G264" s="43">
        <v>75000</v>
      </c>
      <c r="H264" s="43">
        <v>75000</v>
      </c>
      <c r="I264" s="43">
        <v>2152.5</v>
      </c>
      <c r="J264" s="43">
        <v>5966.28</v>
      </c>
      <c r="K264" s="43">
        <v>2280</v>
      </c>
      <c r="L264" s="43">
        <f>4479.29+31.21+100+1715.46</f>
        <v>6325.96</v>
      </c>
      <c r="M264" s="44">
        <f t="shared" si="17"/>
        <v>16724.739999999998</v>
      </c>
      <c r="N264" s="44">
        <f t="shared" si="18"/>
        <v>58275.26</v>
      </c>
      <c r="O264" s="52" t="s">
        <v>19</v>
      </c>
    </row>
    <row r="265" spans="1:15" s="39" customFormat="1" x14ac:dyDescent="0.25">
      <c r="A265" s="12"/>
      <c r="B265" s="52">
        <f t="shared" ref="B265:B328" si="19">+B264+1</f>
        <v>260</v>
      </c>
      <c r="C265" s="53" t="s">
        <v>324</v>
      </c>
      <c r="D265" s="54" t="s">
        <v>252</v>
      </c>
      <c r="E265" s="53" t="s">
        <v>21</v>
      </c>
      <c r="F265" s="54" t="s">
        <v>262</v>
      </c>
      <c r="G265" s="43">
        <v>85000</v>
      </c>
      <c r="H265" s="43">
        <v>85000</v>
      </c>
      <c r="I265" s="43">
        <v>2439.5</v>
      </c>
      <c r="J265" s="43">
        <v>8576.99</v>
      </c>
      <c r="K265" s="43">
        <v>2584</v>
      </c>
      <c r="L265" s="43">
        <f>831.71+31.21+100+10000+9792.62+2700</f>
        <v>23455.54</v>
      </c>
      <c r="M265" s="44">
        <f t="shared" si="17"/>
        <v>37056.03</v>
      </c>
      <c r="N265" s="44">
        <f t="shared" si="18"/>
        <v>47943.97</v>
      </c>
      <c r="O265" s="52" t="s">
        <v>23</v>
      </c>
    </row>
    <row r="266" spans="1:15" s="39" customFormat="1" ht="16.5" customHeight="1" x14ac:dyDescent="0.25">
      <c r="A266" s="12"/>
      <c r="B266" s="52">
        <f t="shared" si="19"/>
        <v>261</v>
      </c>
      <c r="C266" s="53" t="s">
        <v>325</v>
      </c>
      <c r="D266" s="54" t="s">
        <v>252</v>
      </c>
      <c r="E266" s="53" t="s">
        <v>25</v>
      </c>
      <c r="F266" s="54" t="s">
        <v>253</v>
      </c>
      <c r="G266" s="43">
        <v>40000</v>
      </c>
      <c r="H266" s="43">
        <v>40000</v>
      </c>
      <c r="I266" s="43">
        <v>1148</v>
      </c>
      <c r="J266" s="43">
        <v>185.33</v>
      </c>
      <c r="K266" s="43">
        <v>1216</v>
      </c>
      <c r="L266" s="43">
        <f>1593.5+400+31.21+100+1715.46</f>
        <v>3840.17</v>
      </c>
      <c r="M266" s="44">
        <f>+L266+K266+J266+I266</f>
        <v>6389.5</v>
      </c>
      <c r="N266" s="44">
        <f>+G266-M266</f>
        <v>33610.5</v>
      </c>
      <c r="O266" s="52" t="s">
        <v>19</v>
      </c>
    </row>
    <row r="267" spans="1:15" s="39" customFormat="1" ht="19.5" customHeight="1" x14ac:dyDescent="0.25">
      <c r="A267" s="12"/>
      <c r="B267" s="52">
        <f t="shared" si="19"/>
        <v>262</v>
      </c>
      <c r="C267" s="53" t="s">
        <v>326</v>
      </c>
      <c r="D267" s="54" t="s">
        <v>252</v>
      </c>
      <c r="E267" s="53" t="s">
        <v>21</v>
      </c>
      <c r="F267" s="54" t="s">
        <v>253</v>
      </c>
      <c r="G267" s="43">
        <v>75000</v>
      </c>
      <c r="H267" s="43">
        <v>75000</v>
      </c>
      <c r="I267" s="43">
        <v>2152.5</v>
      </c>
      <c r="J267" s="43">
        <v>6309.38</v>
      </c>
      <c r="K267" s="43">
        <v>2280</v>
      </c>
      <c r="L267" s="43">
        <f>5031.21+9792.62</f>
        <v>14823.830000000002</v>
      </c>
      <c r="M267" s="44">
        <f t="shared" si="17"/>
        <v>25565.710000000003</v>
      </c>
      <c r="N267" s="44">
        <f t="shared" si="18"/>
        <v>49434.289999999994</v>
      </c>
      <c r="O267" s="52" t="s">
        <v>19</v>
      </c>
    </row>
    <row r="268" spans="1:15" s="39" customFormat="1" ht="15" customHeight="1" x14ac:dyDescent="0.25">
      <c r="A268" s="12"/>
      <c r="B268" s="52">
        <f t="shared" si="19"/>
        <v>263</v>
      </c>
      <c r="C268" s="53" t="s">
        <v>327</v>
      </c>
      <c r="D268" s="54" t="s">
        <v>252</v>
      </c>
      <c r="E268" s="53" t="s">
        <v>21</v>
      </c>
      <c r="F268" s="54" t="s">
        <v>253</v>
      </c>
      <c r="G268" s="43">
        <v>75000</v>
      </c>
      <c r="H268" s="43">
        <v>75000</v>
      </c>
      <c r="I268" s="43">
        <v>2152.5</v>
      </c>
      <c r="J268" s="43">
        <v>6309.38</v>
      </c>
      <c r="K268" s="43">
        <v>2280</v>
      </c>
      <c r="L268" s="43">
        <v>13828.32</v>
      </c>
      <c r="M268" s="44">
        <f t="shared" si="17"/>
        <v>24570.2</v>
      </c>
      <c r="N268" s="44">
        <f t="shared" si="18"/>
        <v>50429.8</v>
      </c>
      <c r="O268" s="52" t="s">
        <v>23</v>
      </c>
    </row>
    <row r="269" spans="1:15" s="39" customFormat="1" x14ac:dyDescent="0.25">
      <c r="A269" s="12"/>
      <c r="B269" s="52">
        <f t="shared" si="19"/>
        <v>264</v>
      </c>
      <c r="C269" s="53" t="s">
        <v>328</v>
      </c>
      <c r="D269" s="54" t="s">
        <v>252</v>
      </c>
      <c r="E269" s="53" t="s">
        <v>21</v>
      </c>
      <c r="F269" s="54" t="s">
        <v>253</v>
      </c>
      <c r="G269" s="43">
        <v>75000</v>
      </c>
      <c r="H269" s="43">
        <v>75000</v>
      </c>
      <c r="I269" s="43">
        <v>2152.5</v>
      </c>
      <c r="J269" s="43">
        <v>6309.38</v>
      </c>
      <c r="K269" s="43">
        <v>2280</v>
      </c>
      <c r="L269" s="43">
        <v>4056.21</v>
      </c>
      <c r="M269" s="44">
        <f t="shared" si="17"/>
        <v>14798.09</v>
      </c>
      <c r="N269" s="44">
        <f t="shared" si="18"/>
        <v>60201.91</v>
      </c>
      <c r="O269" s="52" t="s">
        <v>23</v>
      </c>
    </row>
    <row r="270" spans="1:15" s="39" customFormat="1" x14ac:dyDescent="0.25">
      <c r="A270" s="12"/>
      <c r="B270" s="52">
        <f t="shared" si="19"/>
        <v>265</v>
      </c>
      <c r="C270" s="53" t="s">
        <v>329</v>
      </c>
      <c r="D270" s="54" t="s">
        <v>252</v>
      </c>
      <c r="E270" s="53" t="s">
        <v>21</v>
      </c>
      <c r="F270" s="54" t="s">
        <v>290</v>
      </c>
      <c r="G270" s="43">
        <v>60000</v>
      </c>
      <c r="H270" s="43">
        <v>60000</v>
      </c>
      <c r="I270" s="43">
        <v>1722</v>
      </c>
      <c r="J270" s="43">
        <v>3486.68</v>
      </c>
      <c r="K270" s="43">
        <v>1824</v>
      </c>
      <c r="L270" s="43">
        <v>8789.7800000000007</v>
      </c>
      <c r="M270" s="44">
        <f t="shared" si="17"/>
        <v>15822.460000000001</v>
      </c>
      <c r="N270" s="44">
        <f t="shared" si="18"/>
        <v>44177.54</v>
      </c>
      <c r="O270" s="52" t="s">
        <v>19</v>
      </c>
    </row>
    <row r="271" spans="1:15" s="39" customFormat="1" x14ac:dyDescent="0.25">
      <c r="A271" s="12"/>
      <c r="B271" s="52">
        <f t="shared" si="19"/>
        <v>266</v>
      </c>
      <c r="C271" s="53" t="s">
        <v>330</v>
      </c>
      <c r="D271" s="54" t="s">
        <v>252</v>
      </c>
      <c r="E271" s="53" t="s">
        <v>21</v>
      </c>
      <c r="F271" s="54" t="s">
        <v>253</v>
      </c>
      <c r="G271" s="43">
        <v>75000</v>
      </c>
      <c r="H271" s="43">
        <v>75000</v>
      </c>
      <c r="I271" s="43">
        <v>2152.5</v>
      </c>
      <c r="J271" s="43">
        <v>6309.38</v>
      </c>
      <c r="K271" s="43">
        <v>2280</v>
      </c>
      <c r="L271" s="43">
        <v>3332.85</v>
      </c>
      <c r="M271" s="44">
        <f>+L271+K271+J271+I271</f>
        <v>14074.73</v>
      </c>
      <c r="N271" s="44">
        <f>+G271-M271</f>
        <v>60925.270000000004</v>
      </c>
      <c r="O271" s="52" t="s">
        <v>19</v>
      </c>
    </row>
    <row r="272" spans="1:15" s="39" customFormat="1" x14ac:dyDescent="0.25">
      <c r="A272" s="12"/>
      <c r="B272" s="52">
        <f t="shared" si="19"/>
        <v>267</v>
      </c>
      <c r="C272" s="53" t="s">
        <v>331</v>
      </c>
      <c r="D272" s="54" t="s">
        <v>252</v>
      </c>
      <c r="E272" s="53" t="s">
        <v>21</v>
      </c>
      <c r="F272" s="54" t="s">
        <v>262</v>
      </c>
      <c r="G272" s="43">
        <v>90000</v>
      </c>
      <c r="H272" s="43">
        <v>90000</v>
      </c>
      <c r="I272" s="43">
        <v>2583</v>
      </c>
      <c r="J272" s="43">
        <v>9324.25</v>
      </c>
      <c r="K272" s="43">
        <v>2736</v>
      </c>
      <c r="L272" s="43">
        <v>1879.18</v>
      </c>
      <c r="M272" s="44">
        <f t="shared" si="17"/>
        <v>16522.43</v>
      </c>
      <c r="N272" s="44">
        <f t="shared" si="18"/>
        <v>73477.570000000007</v>
      </c>
      <c r="O272" s="52" t="s">
        <v>19</v>
      </c>
    </row>
    <row r="273" spans="1:15" s="39" customFormat="1" x14ac:dyDescent="0.25">
      <c r="A273" s="12"/>
      <c r="B273" s="52">
        <f t="shared" si="19"/>
        <v>268</v>
      </c>
      <c r="C273" s="53" t="s">
        <v>332</v>
      </c>
      <c r="D273" s="54" t="s">
        <v>252</v>
      </c>
      <c r="E273" s="53" t="s">
        <v>21</v>
      </c>
      <c r="F273" s="54" t="s">
        <v>290</v>
      </c>
      <c r="G273" s="43">
        <v>45000</v>
      </c>
      <c r="H273" s="43">
        <v>45000</v>
      </c>
      <c r="I273" s="43">
        <v>1291.5</v>
      </c>
      <c r="J273" s="43">
        <v>1148.33</v>
      </c>
      <c r="K273" s="43">
        <v>1368</v>
      </c>
      <c r="L273" s="43">
        <f>450+31.21+16509.4+2200</f>
        <v>19190.61</v>
      </c>
      <c r="M273" s="44">
        <f t="shared" si="17"/>
        <v>22998.440000000002</v>
      </c>
      <c r="N273" s="44">
        <f t="shared" si="18"/>
        <v>22001.559999999998</v>
      </c>
      <c r="O273" s="52" t="s">
        <v>19</v>
      </c>
    </row>
    <row r="274" spans="1:15" s="39" customFormat="1" ht="18.75" customHeight="1" x14ac:dyDescent="0.25">
      <c r="A274" s="12"/>
      <c r="B274" s="52">
        <f t="shared" si="19"/>
        <v>269</v>
      </c>
      <c r="C274" s="53" t="s">
        <v>333</v>
      </c>
      <c r="D274" s="54" t="s">
        <v>252</v>
      </c>
      <c r="E274" s="53" t="s">
        <v>25</v>
      </c>
      <c r="F274" s="54" t="s">
        <v>253</v>
      </c>
      <c r="G274" s="43">
        <v>75000</v>
      </c>
      <c r="H274" s="43">
        <v>75000</v>
      </c>
      <c r="I274" s="43">
        <v>2152.5</v>
      </c>
      <c r="J274" s="43">
        <v>6309.38</v>
      </c>
      <c r="K274" s="43">
        <v>2280</v>
      </c>
      <c r="L274" s="43">
        <f>1247.57+31.21+100</f>
        <v>1378.78</v>
      </c>
      <c r="M274" s="44">
        <f t="shared" si="17"/>
        <v>12120.660000000002</v>
      </c>
      <c r="N274" s="44">
        <f t="shared" si="18"/>
        <v>62879.34</v>
      </c>
      <c r="O274" s="52" t="s">
        <v>23</v>
      </c>
    </row>
    <row r="275" spans="1:15" s="39" customFormat="1" x14ac:dyDescent="0.25">
      <c r="A275" s="12"/>
      <c r="B275" s="52">
        <f t="shared" si="19"/>
        <v>270</v>
      </c>
      <c r="C275" s="53" t="s">
        <v>334</v>
      </c>
      <c r="D275" s="54" t="s">
        <v>252</v>
      </c>
      <c r="E275" s="53" t="s">
        <v>21</v>
      </c>
      <c r="F275" s="54" t="s">
        <v>253</v>
      </c>
      <c r="G275" s="43">
        <v>65000</v>
      </c>
      <c r="H275" s="43">
        <v>65000</v>
      </c>
      <c r="I275" s="43">
        <v>1865.5</v>
      </c>
      <c r="J275" s="43">
        <v>4427.58</v>
      </c>
      <c r="K275" s="43">
        <v>1976</v>
      </c>
      <c r="L275" s="43">
        <f>8456.7+31.21+500+9484.04</f>
        <v>18471.95</v>
      </c>
      <c r="M275" s="44">
        <f t="shared" si="17"/>
        <v>26741.03</v>
      </c>
      <c r="N275" s="44">
        <f t="shared" si="18"/>
        <v>38258.97</v>
      </c>
      <c r="O275" s="52" t="s">
        <v>19</v>
      </c>
    </row>
    <row r="276" spans="1:15" s="39" customFormat="1" x14ac:dyDescent="0.25">
      <c r="A276" s="12"/>
      <c r="B276" s="52">
        <f t="shared" si="19"/>
        <v>271</v>
      </c>
      <c r="C276" s="53" t="s">
        <v>335</v>
      </c>
      <c r="D276" s="54" t="s">
        <v>252</v>
      </c>
      <c r="E276" s="53" t="s">
        <v>25</v>
      </c>
      <c r="F276" s="54" t="s">
        <v>253</v>
      </c>
      <c r="G276" s="43">
        <v>75000</v>
      </c>
      <c r="H276" s="43">
        <v>75000</v>
      </c>
      <c r="I276" s="43">
        <v>2152.5</v>
      </c>
      <c r="J276" s="43">
        <v>6309.38</v>
      </c>
      <c r="K276" s="43">
        <v>2280</v>
      </c>
      <c r="L276" s="43">
        <v>9748.36</v>
      </c>
      <c r="M276" s="44">
        <f t="shared" si="17"/>
        <v>20490.240000000002</v>
      </c>
      <c r="N276" s="44">
        <f>+G276-M276</f>
        <v>54509.759999999995</v>
      </c>
      <c r="O276" s="52" t="s">
        <v>19</v>
      </c>
    </row>
    <row r="277" spans="1:15" s="39" customFormat="1" x14ac:dyDescent="0.25">
      <c r="A277" s="12"/>
      <c r="B277" s="52">
        <f t="shared" si="19"/>
        <v>272</v>
      </c>
      <c r="C277" s="53" t="s">
        <v>336</v>
      </c>
      <c r="D277" s="54" t="s">
        <v>252</v>
      </c>
      <c r="E277" s="53" t="s">
        <v>21</v>
      </c>
      <c r="F277" s="54" t="s">
        <v>253</v>
      </c>
      <c r="G277" s="43">
        <v>75000</v>
      </c>
      <c r="H277" s="43">
        <v>75000</v>
      </c>
      <c r="I277" s="43">
        <v>2152.5</v>
      </c>
      <c r="J277" s="43">
        <v>6309.38</v>
      </c>
      <c r="K277" s="43">
        <v>2280</v>
      </c>
      <c r="L277" s="43">
        <f>4153.8+31.21+100+1000</f>
        <v>5285.01</v>
      </c>
      <c r="M277" s="44">
        <f t="shared" si="17"/>
        <v>16026.890000000001</v>
      </c>
      <c r="N277" s="44">
        <f t="shared" si="18"/>
        <v>58973.11</v>
      </c>
      <c r="O277" s="52" t="s">
        <v>19</v>
      </c>
    </row>
    <row r="278" spans="1:15" s="39" customFormat="1" x14ac:dyDescent="0.25">
      <c r="A278" s="12"/>
      <c r="B278" s="52">
        <f t="shared" si="19"/>
        <v>273</v>
      </c>
      <c r="C278" s="53" t="s">
        <v>337</v>
      </c>
      <c r="D278" s="54" t="s">
        <v>252</v>
      </c>
      <c r="E278" s="53" t="s">
        <v>21</v>
      </c>
      <c r="F278" s="54" t="s">
        <v>290</v>
      </c>
      <c r="G278" s="43">
        <v>60000</v>
      </c>
      <c r="H278" s="43">
        <v>60000</v>
      </c>
      <c r="I278" s="43">
        <v>1722</v>
      </c>
      <c r="J278" s="43">
        <v>3486.68</v>
      </c>
      <c r="K278" s="43">
        <v>1824</v>
      </c>
      <c r="L278" s="43">
        <v>131.21</v>
      </c>
      <c r="M278" s="44">
        <f t="shared" si="17"/>
        <v>7163.89</v>
      </c>
      <c r="N278" s="44">
        <f t="shared" si="18"/>
        <v>52836.11</v>
      </c>
      <c r="O278" s="52" t="s">
        <v>19</v>
      </c>
    </row>
    <row r="279" spans="1:15" s="39" customFormat="1" x14ac:dyDescent="0.25">
      <c r="A279" s="12"/>
      <c r="B279" s="52">
        <f t="shared" si="19"/>
        <v>274</v>
      </c>
      <c r="C279" s="53" t="s">
        <v>338</v>
      </c>
      <c r="D279" s="54" t="s">
        <v>252</v>
      </c>
      <c r="E279" s="53" t="s">
        <v>21</v>
      </c>
      <c r="F279" s="54" t="s">
        <v>256</v>
      </c>
      <c r="G279" s="43">
        <v>50000</v>
      </c>
      <c r="H279" s="43">
        <v>50000</v>
      </c>
      <c r="I279" s="43">
        <v>1435</v>
      </c>
      <c r="J279" s="43">
        <v>1596.68</v>
      </c>
      <c r="K279" s="43">
        <v>1520</v>
      </c>
      <c r="L279" s="43">
        <v>2346.67</v>
      </c>
      <c r="M279" s="44">
        <f t="shared" si="17"/>
        <v>6898.35</v>
      </c>
      <c r="N279" s="44">
        <f t="shared" si="18"/>
        <v>43101.65</v>
      </c>
      <c r="O279" s="52" t="s">
        <v>19</v>
      </c>
    </row>
    <row r="280" spans="1:15" s="39" customFormat="1" x14ac:dyDescent="0.25">
      <c r="A280" s="12"/>
      <c r="B280" s="52">
        <f t="shared" si="19"/>
        <v>275</v>
      </c>
      <c r="C280" s="53" t="s">
        <v>339</v>
      </c>
      <c r="D280" s="54" t="s">
        <v>252</v>
      </c>
      <c r="E280" s="53" t="s">
        <v>21</v>
      </c>
      <c r="F280" s="54" t="s">
        <v>253</v>
      </c>
      <c r="G280" s="43">
        <v>75000</v>
      </c>
      <c r="H280" s="43">
        <v>75000</v>
      </c>
      <c r="I280" s="43">
        <v>2152.5</v>
      </c>
      <c r="J280" s="43">
        <v>6309.38</v>
      </c>
      <c r="K280" s="43">
        <v>2280</v>
      </c>
      <c r="L280" s="43">
        <f>4895.15+750+31.21+100+2000+8789.21</f>
        <v>16565.57</v>
      </c>
      <c r="M280" s="44">
        <f>+L280+K280+J280+I280</f>
        <v>27307.45</v>
      </c>
      <c r="N280" s="44">
        <f t="shared" si="18"/>
        <v>47692.55</v>
      </c>
      <c r="O280" s="52" t="s">
        <v>19</v>
      </c>
    </row>
    <row r="281" spans="1:15" s="39" customFormat="1" x14ac:dyDescent="0.25">
      <c r="A281" s="12"/>
      <c r="B281" s="52">
        <f t="shared" si="19"/>
        <v>276</v>
      </c>
      <c r="C281" s="53" t="s">
        <v>340</v>
      </c>
      <c r="D281" s="54" t="s">
        <v>252</v>
      </c>
      <c r="E281" s="53" t="s">
        <v>21</v>
      </c>
      <c r="F281" s="54" t="s">
        <v>262</v>
      </c>
      <c r="G281" s="43">
        <v>85000</v>
      </c>
      <c r="H281" s="43">
        <v>85000</v>
      </c>
      <c r="I281" s="43">
        <v>2439.5</v>
      </c>
      <c r="J281" s="43">
        <v>8576.99</v>
      </c>
      <c r="K281" s="43">
        <v>2584</v>
      </c>
      <c r="L281" s="43">
        <v>14728.87</v>
      </c>
      <c r="M281" s="44">
        <f t="shared" si="17"/>
        <v>28329.360000000001</v>
      </c>
      <c r="N281" s="44">
        <f t="shared" si="18"/>
        <v>56670.64</v>
      </c>
      <c r="O281" s="52" t="s">
        <v>19</v>
      </c>
    </row>
    <row r="282" spans="1:15" s="39" customFormat="1" x14ac:dyDescent="0.25">
      <c r="A282" s="12"/>
      <c r="B282" s="52">
        <f t="shared" si="19"/>
        <v>277</v>
      </c>
      <c r="C282" s="53" t="s">
        <v>341</v>
      </c>
      <c r="D282" s="54" t="s">
        <v>252</v>
      </c>
      <c r="E282" s="53" t="s">
        <v>21</v>
      </c>
      <c r="F282" s="54" t="s">
        <v>262</v>
      </c>
      <c r="G282" s="43">
        <v>85000</v>
      </c>
      <c r="H282" s="43">
        <v>85000</v>
      </c>
      <c r="I282" s="43">
        <v>2439.5</v>
      </c>
      <c r="J282" s="43">
        <v>8148.13</v>
      </c>
      <c r="K282" s="43">
        <v>2584</v>
      </c>
      <c r="L282" s="43">
        <v>32884.03</v>
      </c>
      <c r="M282" s="44">
        <f t="shared" si="17"/>
        <v>46055.66</v>
      </c>
      <c r="N282" s="44">
        <f t="shared" si="18"/>
        <v>38944.339999999997</v>
      </c>
      <c r="O282" s="52" t="s">
        <v>19</v>
      </c>
    </row>
    <row r="283" spans="1:15" s="39" customFormat="1" x14ac:dyDescent="0.25">
      <c r="A283" s="12"/>
      <c r="B283" s="52">
        <f t="shared" si="19"/>
        <v>278</v>
      </c>
      <c r="C283" s="53" t="s">
        <v>342</v>
      </c>
      <c r="D283" s="54" t="s">
        <v>252</v>
      </c>
      <c r="E283" s="53" t="s">
        <v>21</v>
      </c>
      <c r="F283" s="54" t="s">
        <v>262</v>
      </c>
      <c r="G283" s="43">
        <v>85000</v>
      </c>
      <c r="H283" s="43">
        <v>85000</v>
      </c>
      <c r="I283" s="43">
        <v>2439.5</v>
      </c>
      <c r="J283" s="43">
        <v>8576.99</v>
      </c>
      <c r="K283" s="43">
        <v>2584</v>
      </c>
      <c r="L283" s="43">
        <f>180+1247.57+850+31.21+100</f>
        <v>2408.7799999999997</v>
      </c>
      <c r="M283" s="44">
        <f t="shared" si="17"/>
        <v>16009.27</v>
      </c>
      <c r="N283" s="44">
        <f t="shared" si="18"/>
        <v>68990.73</v>
      </c>
      <c r="O283" s="52" t="s">
        <v>23</v>
      </c>
    </row>
    <row r="284" spans="1:15" s="39" customFormat="1" x14ac:dyDescent="0.25">
      <c r="A284" s="12"/>
      <c r="B284" s="52">
        <f t="shared" si="19"/>
        <v>279</v>
      </c>
      <c r="C284" s="53" t="s">
        <v>343</v>
      </c>
      <c r="D284" s="54" t="s">
        <v>252</v>
      </c>
      <c r="E284" s="53" t="s">
        <v>21</v>
      </c>
      <c r="F284" s="54" t="s">
        <v>253</v>
      </c>
      <c r="G284" s="43">
        <v>75000</v>
      </c>
      <c r="H284" s="43">
        <v>75000</v>
      </c>
      <c r="I284" s="43">
        <v>2152.5</v>
      </c>
      <c r="J284" s="43">
        <v>6309.38</v>
      </c>
      <c r="K284" s="43">
        <v>2280</v>
      </c>
      <c r="L284" s="43">
        <f>1593.5+31.21+100</f>
        <v>1724.71</v>
      </c>
      <c r="M284" s="44">
        <f t="shared" si="17"/>
        <v>12466.59</v>
      </c>
      <c r="N284" s="44">
        <f t="shared" si="18"/>
        <v>62533.41</v>
      </c>
      <c r="O284" s="52" t="s">
        <v>19</v>
      </c>
    </row>
    <row r="285" spans="1:15" s="39" customFormat="1" x14ac:dyDescent="0.25">
      <c r="A285" s="12"/>
      <c r="B285" s="52">
        <f t="shared" si="19"/>
        <v>280</v>
      </c>
      <c r="C285" s="53" t="s">
        <v>344</v>
      </c>
      <c r="D285" s="54" t="s">
        <v>252</v>
      </c>
      <c r="E285" s="53" t="s">
        <v>21</v>
      </c>
      <c r="F285" s="54" t="s">
        <v>258</v>
      </c>
      <c r="G285" s="43">
        <v>100000</v>
      </c>
      <c r="H285" s="43">
        <v>100000</v>
      </c>
      <c r="I285" s="43">
        <v>2870</v>
      </c>
      <c r="J285" s="43">
        <v>11676.5</v>
      </c>
      <c r="K285" s="43">
        <v>3040</v>
      </c>
      <c r="L285" s="43">
        <f>140+3561.55+31.21+100+2000+1166.54+2927.23+1715.46</f>
        <v>11641.990000000002</v>
      </c>
      <c r="M285" s="44">
        <f t="shared" si="17"/>
        <v>29228.49</v>
      </c>
      <c r="N285" s="44">
        <f>+G285-M285</f>
        <v>70771.509999999995</v>
      </c>
      <c r="O285" s="52" t="s">
        <v>19</v>
      </c>
    </row>
    <row r="286" spans="1:15" s="39" customFormat="1" x14ac:dyDescent="0.25">
      <c r="A286" s="12"/>
      <c r="B286" s="52">
        <f t="shared" si="19"/>
        <v>281</v>
      </c>
      <c r="C286" s="53" t="s">
        <v>345</v>
      </c>
      <c r="D286" s="54" t="s">
        <v>252</v>
      </c>
      <c r="E286" s="53" t="s">
        <v>21</v>
      </c>
      <c r="F286" s="54" t="s">
        <v>253</v>
      </c>
      <c r="G286" s="43">
        <v>75000</v>
      </c>
      <c r="H286" s="43">
        <v>75000</v>
      </c>
      <c r="I286" s="43">
        <v>2152.5</v>
      </c>
      <c r="J286" s="43">
        <v>6309.38</v>
      </c>
      <c r="K286" s="43">
        <v>2280</v>
      </c>
      <c r="L286" s="43">
        <f>2885.79+750+31.21+100+500</f>
        <v>4267</v>
      </c>
      <c r="M286" s="44">
        <f t="shared" si="17"/>
        <v>15008.880000000001</v>
      </c>
      <c r="N286" s="44">
        <f t="shared" si="18"/>
        <v>59991.119999999995</v>
      </c>
      <c r="O286" s="52" t="s">
        <v>19</v>
      </c>
    </row>
    <row r="287" spans="1:15" s="39" customFormat="1" x14ac:dyDescent="0.25">
      <c r="A287" s="12"/>
      <c r="B287" s="52">
        <f t="shared" si="19"/>
        <v>282</v>
      </c>
      <c r="C287" s="53" t="s">
        <v>346</v>
      </c>
      <c r="D287" s="54" t="s">
        <v>252</v>
      </c>
      <c r="E287" s="53" t="s">
        <v>21</v>
      </c>
      <c r="F287" s="54" t="s">
        <v>258</v>
      </c>
      <c r="G287" s="43">
        <v>95000</v>
      </c>
      <c r="H287" s="43">
        <v>95000</v>
      </c>
      <c r="I287" s="43">
        <v>2726.5</v>
      </c>
      <c r="J287" s="43">
        <v>10500.38</v>
      </c>
      <c r="K287" s="43">
        <v>2888</v>
      </c>
      <c r="L287" s="43">
        <v>19668.93</v>
      </c>
      <c r="M287" s="44">
        <f t="shared" si="17"/>
        <v>35783.81</v>
      </c>
      <c r="N287" s="44">
        <f t="shared" si="18"/>
        <v>59216.19</v>
      </c>
      <c r="O287" s="52" t="s">
        <v>23</v>
      </c>
    </row>
    <row r="288" spans="1:15" s="39" customFormat="1" x14ac:dyDescent="0.25">
      <c r="A288" s="12"/>
      <c r="B288" s="52">
        <f t="shared" si="19"/>
        <v>283</v>
      </c>
      <c r="C288" s="53" t="s">
        <v>347</v>
      </c>
      <c r="D288" s="54" t="s">
        <v>252</v>
      </c>
      <c r="E288" s="53" t="s">
        <v>21</v>
      </c>
      <c r="F288" s="54" t="s">
        <v>253</v>
      </c>
      <c r="G288" s="43">
        <v>75000</v>
      </c>
      <c r="H288" s="43">
        <v>75000</v>
      </c>
      <c r="I288" s="43">
        <v>2152.5</v>
      </c>
      <c r="J288" s="43">
        <v>6309.38</v>
      </c>
      <c r="K288" s="43">
        <v>2280</v>
      </c>
      <c r="L288" s="43">
        <v>19061.2</v>
      </c>
      <c r="M288" s="44">
        <f t="shared" si="17"/>
        <v>29803.08</v>
      </c>
      <c r="N288" s="44">
        <f t="shared" si="18"/>
        <v>45196.92</v>
      </c>
      <c r="O288" s="52" t="s">
        <v>19</v>
      </c>
    </row>
    <row r="289" spans="1:15" s="39" customFormat="1" x14ac:dyDescent="0.25">
      <c r="A289" s="12"/>
      <c r="B289" s="52">
        <f t="shared" si="19"/>
        <v>284</v>
      </c>
      <c r="C289" s="53" t="s">
        <v>348</v>
      </c>
      <c r="D289" s="54" t="s">
        <v>252</v>
      </c>
      <c r="E289" s="53" t="s">
        <v>25</v>
      </c>
      <c r="F289" s="54" t="s">
        <v>253</v>
      </c>
      <c r="G289" s="43">
        <v>75000</v>
      </c>
      <c r="H289" s="43">
        <v>75000</v>
      </c>
      <c r="I289" s="43">
        <v>2152.5</v>
      </c>
      <c r="J289" s="43">
        <v>5280.1</v>
      </c>
      <c r="K289" s="43">
        <v>2280</v>
      </c>
      <c r="L289" s="43">
        <v>6277.59</v>
      </c>
      <c r="M289" s="44">
        <f t="shared" si="17"/>
        <v>15990.19</v>
      </c>
      <c r="N289" s="44">
        <f t="shared" si="18"/>
        <v>59009.81</v>
      </c>
      <c r="O289" s="52" t="s">
        <v>19</v>
      </c>
    </row>
    <row r="290" spans="1:15" s="39" customFormat="1" x14ac:dyDescent="0.25">
      <c r="A290" s="12"/>
      <c r="B290" s="52">
        <f t="shared" si="19"/>
        <v>285</v>
      </c>
      <c r="C290" s="53" t="s">
        <v>349</v>
      </c>
      <c r="D290" s="54" t="s">
        <v>252</v>
      </c>
      <c r="E290" s="53" t="s">
        <v>21</v>
      </c>
      <c r="F290" s="54" t="s">
        <v>285</v>
      </c>
      <c r="G290" s="43">
        <v>40000</v>
      </c>
      <c r="H290" s="43">
        <v>40000</v>
      </c>
      <c r="I290" s="43">
        <v>1148</v>
      </c>
      <c r="J290" s="43">
        <v>185.33</v>
      </c>
      <c r="K290" s="43">
        <v>1216</v>
      </c>
      <c r="L290" s="43">
        <v>1846.67</v>
      </c>
      <c r="M290" s="44">
        <f t="shared" si="17"/>
        <v>4396</v>
      </c>
      <c r="N290" s="44">
        <f t="shared" si="18"/>
        <v>35604</v>
      </c>
      <c r="O290" s="52" t="s">
        <v>19</v>
      </c>
    </row>
    <row r="291" spans="1:15" s="39" customFormat="1" x14ac:dyDescent="0.25">
      <c r="A291" s="12"/>
      <c r="B291" s="52">
        <f t="shared" si="19"/>
        <v>286</v>
      </c>
      <c r="C291" s="53" t="s">
        <v>350</v>
      </c>
      <c r="D291" s="54" t="s">
        <v>252</v>
      </c>
      <c r="E291" s="53" t="s">
        <v>21</v>
      </c>
      <c r="F291" s="54" t="s">
        <v>253</v>
      </c>
      <c r="G291" s="43">
        <v>75000</v>
      </c>
      <c r="H291" s="43">
        <v>75000</v>
      </c>
      <c r="I291" s="43">
        <v>2152.5</v>
      </c>
      <c r="J291" s="43">
        <v>6309.38</v>
      </c>
      <c r="K291" s="43">
        <v>2280</v>
      </c>
      <c r="L291" s="43">
        <v>10976.99</v>
      </c>
      <c r="M291" s="44">
        <f>+L291+J291+I291+K291</f>
        <v>21718.87</v>
      </c>
      <c r="N291" s="44">
        <f t="shared" si="18"/>
        <v>53281.130000000005</v>
      </c>
      <c r="O291" s="52" t="s">
        <v>19</v>
      </c>
    </row>
    <row r="292" spans="1:15" s="39" customFormat="1" x14ac:dyDescent="0.25">
      <c r="A292" s="12"/>
      <c r="B292" s="52">
        <f t="shared" si="19"/>
        <v>287</v>
      </c>
      <c r="C292" s="53" t="s">
        <v>351</v>
      </c>
      <c r="D292" s="54" t="s">
        <v>252</v>
      </c>
      <c r="E292" s="53" t="s">
        <v>21</v>
      </c>
      <c r="F292" s="54" t="s">
        <v>253</v>
      </c>
      <c r="G292" s="43">
        <v>75000</v>
      </c>
      <c r="H292" s="43">
        <v>75000</v>
      </c>
      <c r="I292" s="43">
        <v>2152.5</v>
      </c>
      <c r="J292" s="43">
        <v>6309.38</v>
      </c>
      <c r="K292" s="43">
        <v>2280</v>
      </c>
      <c r="L292" s="43">
        <f>2885.79+31.21+100+1000+12186.23</f>
        <v>16203.23</v>
      </c>
      <c r="M292" s="44">
        <f t="shared" si="17"/>
        <v>26945.11</v>
      </c>
      <c r="N292" s="44">
        <f t="shared" si="18"/>
        <v>48054.89</v>
      </c>
      <c r="O292" s="52" t="s">
        <v>23</v>
      </c>
    </row>
    <row r="293" spans="1:15" s="39" customFormat="1" x14ac:dyDescent="0.25">
      <c r="A293" s="12"/>
      <c r="B293" s="52">
        <f t="shared" si="19"/>
        <v>288</v>
      </c>
      <c r="C293" s="53" t="s">
        <v>352</v>
      </c>
      <c r="D293" s="54" t="s">
        <v>252</v>
      </c>
      <c r="E293" s="53" t="s">
        <v>25</v>
      </c>
      <c r="F293" s="54" t="s">
        <v>258</v>
      </c>
      <c r="G293" s="43">
        <v>95000</v>
      </c>
      <c r="H293" s="43">
        <v>95000</v>
      </c>
      <c r="I293" s="43">
        <v>2726.5</v>
      </c>
      <c r="J293" s="43">
        <v>10929.24</v>
      </c>
      <c r="K293" s="43">
        <v>2888</v>
      </c>
      <c r="L293" s="43">
        <f>4663.05+31.21+100+1000+9727.22</f>
        <v>15521.48</v>
      </c>
      <c r="M293" s="44">
        <f t="shared" si="17"/>
        <v>32065.219999999998</v>
      </c>
      <c r="N293" s="44">
        <f t="shared" si="18"/>
        <v>62934.78</v>
      </c>
      <c r="O293" s="52" t="s">
        <v>19</v>
      </c>
    </row>
    <row r="294" spans="1:15" s="39" customFormat="1" x14ac:dyDescent="0.25">
      <c r="A294" s="12"/>
      <c r="B294" s="52">
        <f t="shared" si="19"/>
        <v>289</v>
      </c>
      <c r="C294" s="53" t="s">
        <v>353</v>
      </c>
      <c r="D294" s="54" t="s">
        <v>252</v>
      </c>
      <c r="E294" s="53" t="s">
        <v>21</v>
      </c>
      <c r="F294" s="54" t="s">
        <v>262</v>
      </c>
      <c r="G294" s="43">
        <v>85000</v>
      </c>
      <c r="H294" s="43">
        <v>85000</v>
      </c>
      <c r="I294" s="43">
        <v>2439.5</v>
      </c>
      <c r="J294" s="43">
        <v>8148.13</v>
      </c>
      <c r="K294" s="43">
        <v>2584</v>
      </c>
      <c r="L294" s="43">
        <v>21274.91</v>
      </c>
      <c r="M294" s="44">
        <f t="shared" si="17"/>
        <v>34446.54</v>
      </c>
      <c r="N294" s="44">
        <f>+G294-M294</f>
        <v>50553.46</v>
      </c>
      <c r="O294" s="52" t="s">
        <v>19</v>
      </c>
    </row>
    <row r="295" spans="1:15" s="39" customFormat="1" x14ac:dyDescent="0.25">
      <c r="A295" s="12"/>
      <c r="B295" s="52">
        <f t="shared" si="19"/>
        <v>290</v>
      </c>
      <c r="C295" s="53" t="s">
        <v>354</v>
      </c>
      <c r="D295" s="54" t="s">
        <v>252</v>
      </c>
      <c r="E295" s="53" t="s">
        <v>21</v>
      </c>
      <c r="F295" s="54" t="s">
        <v>258</v>
      </c>
      <c r="G295" s="43">
        <v>95000</v>
      </c>
      <c r="H295" s="43">
        <v>95000</v>
      </c>
      <c r="I295" s="43">
        <v>2726.5</v>
      </c>
      <c r="J295" s="43">
        <v>10929.24</v>
      </c>
      <c r="K295" s="43">
        <v>2888</v>
      </c>
      <c r="L295" s="43">
        <v>13252</v>
      </c>
      <c r="M295" s="44">
        <f t="shared" si="17"/>
        <v>29795.739999999998</v>
      </c>
      <c r="N295" s="44">
        <f t="shared" si="18"/>
        <v>65204.26</v>
      </c>
      <c r="O295" s="52" t="s">
        <v>23</v>
      </c>
    </row>
    <row r="296" spans="1:15" s="39" customFormat="1" x14ac:dyDescent="0.25">
      <c r="A296" s="12"/>
      <c r="B296" s="60">
        <f>B295+1</f>
        <v>291</v>
      </c>
      <c r="C296" s="61" t="s">
        <v>623</v>
      </c>
      <c r="D296" s="62" t="s">
        <v>356</v>
      </c>
      <c r="E296" s="61" t="s">
        <v>25</v>
      </c>
      <c r="F296" s="62" t="s">
        <v>357</v>
      </c>
      <c r="G296" s="63">
        <v>15000</v>
      </c>
      <c r="H296" s="63">
        <v>15000</v>
      </c>
      <c r="I296" s="63">
        <v>430.5</v>
      </c>
      <c r="J296" s="63">
        <v>0</v>
      </c>
      <c r="K296" s="63">
        <v>456</v>
      </c>
      <c r="L296" s="63">
        <v>0</v>
      </c>
      <c r="M296" s="64">
        <f t="shared" si="17"/>
        <v>886.5</v>
      </c>
      <c r="N296" s="64">
        <f t="shared" si="18"/>
        <v>14113.5</v>
      </c>
      <c r="O296" s="60" t="s">
        <v>19</v>
      </c>
    </row>
    <row r="297" spans="1:15" s="39" customFormat="1" x14ac:dyDescent="0.25">
      <c r="A297" s="12"/>
      <c r="B297" s="60">
        <f>B296+1</f>
        <v>292</v>
      </c>
      <c r="C297" s="61" t="s">
        <v>624</v>
      </c>
      <c r="D297" s="62" t="s">
        <v>356</v>
      </c>
      <c r="E297" s="61" t="s">
        <v>25</v>
      </c>
      <c r="F297" s="62" t="s">
        <v>357</v>
      </c>
      <c r="G297" s="63">
        <v>15000</v>
      </c>
      <c r="H297" s="63">
        <v>15000</v>
      </c>
      <c r="I297" s="63">
        <v>430.5</v>
      </c>
      <c r="J297" s="63">
        <v>0</v>
      </c>
      <c r="K297" s="63">
        <v>456</v>
      </c>
      <c r="L297" s="63">
        <v>0</v>
      </c>
      <c r="M297" s="64">
        <f t="shared" si="17"/>
        <v>886.5</v>
      </c>
      <c r="N297" s="64">
        <f t="shared" si="18"/>
        <v>14113.5</v>
      </c>
      <c r="O297" s="60" t="s">
        <v>19</v>
      </c>
    </row>
    <row r="298" spans="1:15" s="39" customFormat="1" x14ac:dyDescent="0.25">
      <c r="A298" s="37"/>
      <c r="B298" s="52">
        <f>B297+1</f>
        <v>293</v>
      </c>
      <c r="C298" s="53" t="s">
        <v>355</v>
      </c>
      <c r="D298" s="54" t="s">
        <v>356</v>
      </c>
      <c r="E298" s="53" t="s">
        <v>25</v>
      </c>
      <c r="F298" s="54" t="s">
        <v>357</v>
      </c>
      <c r="G298" s="43">
        <v>15000</v>
      </c>
      <c r="H298" s="43">
        <v>15000</v>
      </c>
      <c r="I298" s="43">
        <v>430.5</v>
      </c>
      <c r="J298" s="43">
        <v>0</v>
      </c>
      <c r="K298" s="43">
        <v>456</v>
      </c>
      <c r="L298" s="43">
        <f>31.21+200+2937.79</f>
        <v>3169</v>
      </c>
      <c r="M298" s="44">
        <f t="shared" si="17"/>
        <v>4055.5</v>
      </c>
      <c r="N298" s="44">
        <f t="shared" si="18"/>
        <v>10944.5</v>
      </c>
      <c r="O298" s="52" t="s">
        <v>23</v>
      </c>
    </row>
    <row r="299" spans="1:15" s="39" customFormat="1" x14ac:dyDescent="0.25">
      <c r="A299" s="12"/>
      <c r="B299" s="52">
        <f t="shared" si="19"/>
        <v>294</v>
      </c>
      <c r="C299" s="53" t="s">
        <v>358</v>
      </c>
      <c r="D299" s="54" t="s">
        <v>356</v>
      </c>
      <c r="E299" s="53" t="s">
        <v>25</v>
      </c>
      <c r="F299" s="54" t="s">
        <v>357</v>
      </c>
      <c r="G299" s="43">
        <v>15000</v>
      </c>
      <c r="H299" s="43">
        <v>15000</v>
      </c>
      <c r="I299" s="43">
        <v>430.5</v>
      </c>
      <c r="J299" s="43">
        <v>0</v>
      </c>
      <c r="K299" s="43">
        <v>456</v>
      </c>
      <c r="L299" s="43">
        <v>31.21</v>
      </c>
      <c r="M299" s="44">
        <f t="shared" si="17"/>
        <v>917.71</v>
      </c>
      <c r="N299" s="44">
        <f t="shared" si="18"/>
        <v>14082.29</v>
      </c>
      <c r="O299" s="52" t="s">
        <v>23</v>
      </c>
    </row>
    <row r="300" spans="1:15" s="39" customFormat="1" x14ac:dyDescent="0.25">
      <c r="A300" s="12"/>
      <c r="B300" s="52">
        <f t="shared" si="19"/>
        <v>295</v>
      </c>
      <c r="C300" s="53" t="s">
        <v>359</v>
      </c>
      <c r="D300" s="54" t="s">
        <v>356</v>
      </c>
      <c r="E300" s="53" t="s">
        <v>25</v>
      </c>
      <c r="F300" s="54" t="s">
        <v>360</v>
      </c>
      <c r="G300" s="43">
        <v>15000</v>
      </c>
      <c r="H300" s="43">
        <v>15000</v>
      </c>
      <c r="I300" s="43">
        <v>430.5</v>
      </c>
      <c r="J300" s="43">
        <v>0</v>
      </c>
      <c r="K300" s="43">
        <v>456</v>
      </c>
      <c r="L300" s="43">
        <f>415.86+31.21</f>
        <v>447.07</v>
      </c>
      <c r="M300" s="44">
        <f t="shared" si="17"/>
        <v>1333.57</v>
      </c>
      <c r="N300" s="44">
        <f t="shared" si="18"/>
        <v>13666.43</v>
      </c>
      <c r="O300" s="52" t="s">
        <v>19</v>
      </c>
    </row>
    <row r="301" spans="1:15" s="39" customFormat="1" x14ac:dyDescent="0.25">
      <c r="A301" s="12"/>
      <c r="B301" s="52">
        <f t="shared" si="19"/>
        <v>296</v>
      </c>
      <c r="C301" s="53" t="s">
        <v>361</v>
      </c>
      <c r="D301" s="54" t="s">
        <v>356</v>
      </c>
      <c r="E301" s="53" t="s">
        <v>25</v>
      </c>
      <c r="F301" s="54" t="s">
        <v>362</v>
      </c>
      <c r="G301" s="43">
        <v>20000</v>
      </c>
      <c r="H301" s="43">
        <v>20000</v>
      </c>
      <c r="I301" s="43">
        <v>574</v>
      </c>
      <c r="J301" s="43">
        <v>0</v>
      </c>
      <c r="K301" s="43">
        <v>608</v>
      </c>
      <c r="L301" s="43">
        <f>31.21+2000+3691.49</f>
        <v>5722.7</v>
      </c>
      <c r="M301" s="44">
        <f t="shared" si="17"/>
        <v>6904.7</v>
      </c>
      <c r="N301" s="44">
        <f t="shared" si="18"/>
        <v>13095.3</v>
      </c>
      <c r="O301" s="52" t="s">
        <v>19</v>
      </c>
    </row>
    <row r="302" spans="1:15" s="39" customFormat="1" x14ac:dyDescent="0.25">
      <c r="A302" s="12"/>
      <c r="B302" s="52">
        <f t="shared" si="19"/>
        <v>297</v>
      </c>
      <c r="C302" s="53" t="s">
        <v>363</v>
      </c>
      <c r="D302" s="54" t="s">
        <v>356</v>
      </c>
      <c r="E302" s="53" t="s">
        <v>25</v>
      </c>
      <c r="F302" s="54" t="s">
        <v>360</v>
      </c>
      <c r="G302" s="43">
        <v>15000</v>
      </c>
      <c r="H302" s="43">
        <v>15000</v>
      </c>
      <c r="I302" s="43">
        <v>430.5</v>
      </c>
      <c r="J302" s="43">
        <v>0</v>
      </c>
      <c r="K302" s="43">
        <v>456</v>
      </c>
      <c r="L302" s="43">
        <v>31.21</v>
      </c>
      <c r="M302" s="44">
        <f t="shared" si="17"/>
        <v>917.71</v>
      </c>
      <c r="N302" s="44">
        <f t="shared" si="18"/>
        <v>14082.29</v>
      </c>
      <c r="O302" s="52" t="s">
        <v>19</v>
      </c>
    </row>
    <row r="303" spans="1:15" s="39" customFormat="1" x14ac:dyDescent="0.25">
      <c r="A303" s="12"/>
      <c r="B303" s="52">
        <f t="shared" si="19"/>
        <v>298</v>
      </c>
      <c r="C303" s="53" t="s">
        <v>364</v>
      </c>
      <c r="D303" s="54" t="s">
        <v>356</v>
      </c>
      <c r="E303" s="53" t="s">
        <v>25</v>
      </c>
      <c r="F303" s="54" t="s">
        <v>360</v>
      </c>
      <c r="G303" s="43">
        <v>10000</v>
      </c>
      <c r="H303" s="43">
        <v>10000</v>
      </c>
      <c r="I303" s="43">
        <v>287</v>
      </c>
      <c r="J303" s="43">
        <v>0</v>
      </c>
      <c r="K303" s="43">
        <v>304</v>
      </c>
      <c r="L303" s="43">
        <f>415.86+31.21</f>
        <v>447.07</v>
      </c>
      <c r="M303" s="44">
        <f t="shared" si="17"/>
        <v>1038.07</v>
      </c>
      <c r="N303" s="44">
        <f t="shared" si="18"/>
        <v>8961.93</v>
      </c>
      <c r="O303" s="52" t="s">
        <v>19</v>
      </c>
    </row>
    <row r="304" spans="1:15" s="39" customFormat="1" x14ac:dyDescent="0.25">
      <c r="A304" s="12"/>
      <c r="B304" s="52">
        <f t="shared" si="19"/>
        <v>299</v>
      </c>
      <c r="C304" s="53" t="s">
        <v>365</v>
      </c>
      <c r="D304" s="54" t="s">
        <v>356</v>
      </c>
      <c r="E304" s="53" t="s">
        <v>25</v>
      </c>
      <c r="F304" s="54" t="s">
        <v>357</v>
      </c>
      <c r="G304" s="43">
        <v>10000</v>
      </c>
      <c r="H304" s="43">
        <v>10000</v>
      </c>
      <c r="I304" s="43">
        <v>287</v>
      </c>
      <c r="J304" s="43">
        <v>0</v>
      </c>
      <c r="K304" s="43">
        <v>304</v>
      </c>
      <c r="L304" s="43">
        <f>2079.28+29.21+1000</f>
        <v>3108.4900000000002</v>
      </c>
      <c r="M304" s="44">
        <f t="shared" si="17"/>
        <v>3699.4900000000002</v>
      </c>
      <c r="N304" s="44">
        <f t="shared" si="18"/>
        <v>6300.51</v>
      </c>
      <c r="O304" s="52" t="s">
        <v>19</v>
      </c>
    </row>
    <row r="305" spans="1:15" s="39" customFormat="1" x14ac:dyDescent="0.25">
      <c r="A305" s="12"/>
      <c r="B305" s="52">
        <f t="shared" si="19"/>
        <v>300</v>
      </c>
      <c r="C305" s="53" t="s">
        <v>366</v>
      </c>
      <c r="D305" s="54" t="s">
        <v>356</v>
      </c>
      <c r="E305" s="53" t="s">
        <v>25</v>
      </c>
      <c r="F305" s="54" t="s">
        <v>357</v>
      </c>
      <c r="G305" s="43">
        <v>10000</v>
      </c>
      <c r="H305" s="43">
        <v>10000</v>
      </c>
      <c r="I305" s="43">
        <v>287</v>
      </c>
      <c r="J305" s="43">
        <v>0</v>
      </c>
      <c r="K305" s="43">
        <v>304</v>
      </c>
      <c r="L305" s="43">
        <v>3593.1</v>
      </c>
      <c r="M305" s="44">
        <f t="shared" si="17"/>
        <v>4184.1000000000004</v>
      </c>
      <c r="N305" s="44">
        <f t="shared" si="18"/>
        <v>5815.9</v>
      </c>
      <c r="O305" s="52" t="s">
        <v>19</v>
      </c>
    </row>
    <row r="306" spans="1:15" s="39" customFormat="1" x14ac:dyDescent="0.25">
      <c r="A306" s="12"/>
      <c r="B306" s="52">
        <f t="shared" si="19"/>
        <v>301</v>
      </c>
      <c r="C306" s="53" t="s">
        <v>367</v>
      </c>
      <c r="D306" s="54" t="s">
        <v>356</v>
      </c>
      <c r="E306" s="53" t="s">
        <v>25</v>
      </c>
      <c r="F306" s="54" t="s">
        <v>357</v>
      </c>
      <c r="G306" s="43">
        <v>10000</v>
      </c>
      <c r="H306" s="43">
        <v>10000</v>
      </c>
      <c r="I306" s="43">
        <v>287</v>
      </c>
      <c r="J306" s="43">
        <v>0</v>
      </c>
      <c r="K306" s="43">
        <v>304</v>
      </c>
      <c r="L306" s="43">
        <v>29.21</v>
      </c>
      <c r="M306" s="44">
        <f t="shared" si="17"/>
        <v>620.21</v>
      </c>
      <c r="N306" s="44">
        <f t="shared" si="18"/>
        <v>9379.7900000000009</v>
      </c>
      <c r="O306" s="52" t="s">
        <v>19</v>
      </c>
    </row>
    <row r="307" spans="1:15" s="39" customFormat="1" x14ac:dyDescent="0.25">
      <c r="A307" s="12"/>
      <c r="B307" s="52">
        <f t="shared" si="19"/>
        <v>302</v>
      </c>
      <c r="C307" s="53" t="s">
        <v>368</v>
      </c>
      <c r="D307" s="54" t="s">
        <v>356</v>
      </c>
      <c r="E307" s="53" t="s">
        <v>25</v>
      </c>
      <c r="F307" s="54" t="s">
        <v>362</v>
      </c>
      <c r="G307" s="43">
        <v>20000</v>
      </c>
      <c r="H307" s="43">
        <v>20000</v>
      </c>
      <c r="I307" s="43">
        <v>574</v>
      </c>
      <c r="J307" s="43">
        <v>0</v>
      </c>
      <c r="K307" s="43">
        <v>608</v>
      </c>
      <c r="L307" s="43">
        <v>31.21</v>
      </c>
      <c r="M307" s="44">
        <f t="shared" si="17"/>
        <v>1213.21</v>
      </c>
      <c r="N307" s="44">
        <f t="shared" si="18"/>
        <v>18786.79</v>
      </c>
      <c r="O307" s="52" t="s">
        <v>19</v>
      </c>
    </row>
    <row r="308" spans="1:15" s="39" customFormat="1" x14ac:dyDescent="0.25">
      <c r="A308" s="12"/>
      <c r="B308" s="52">
        <f t="shared" si="19"/>
        <v>303</v>
      </c>
      <c r="C308" s="53" t="s">
        <v>369</v>
      </c>
      <c r="D308" s="54" t="s">
        <v>356</v>
      </c>
      <c r="E308" s="53" t="s">
        <v>25</v>
      </c>
      <c r="F308" s="54" t="s">
        <v>357</v>
      </c>
      <c r="G308" s="43">
        <v>15000</v>
      </c>
      <c r="H308" s="43">
        <v>15000</v>
      </c>
      <c r="I308" s="43">
        <v>430.5</v>
      </c>
      <c r="J308" s="43">
        <v>0</v>
      </c>
      <c r="K308" s="43">
        <v>456</v>
      </c>
      <c r="L308" s="43">
        <f>31.21+2000</f>
        <v>2031.21</v>
      </c>
      <c r="M308" s="44">
        <f t="shared" si="17"/>
        <v>2917.71</v>
      </c>
      <c r="N308" s="44">
        <f t="shared" si="18"/>
        <v>12082.29</v>
      </c>
      <c r="O308" s="52" t="s">
        <v>19</v>
      </c>
    </row>
    <row r="309" spans="1:15" s="39" customFormat="1" x14ac:dyDescent="0.25">
      <c r="A309" s="12"/>
      <c r="B309" s="52">
        <f t="shared" si="19"/>
        <v>304</v>
      </c>
      <c r="C309" s="53" t="s">
        <v>370</v>
      </c>
      <c r="D309" s="54" t="s">
        <v>356</v>
      </c>
      <c r="E309" s="53" t="s">
        <v>25</v>
      </c>
      <c r="F309" s="54" t="s">
        <v>357</v>
      </c>
      <c r="G309" s="43">
        <v>17000</v>
      </c>
      <c r="H309" s="43">
        <v>17000</v>
      </c>
      <c r="I309" s="43">
        <v>487.9</v>
      </c>
      <c r="J309" s="43">
        <v>0</v>
      </c>
      <c r="K309" s="43">
        <v>516.79999999999995</v>
      </c>
      <c r="L309" s="43">
        <v>31.21</v>
      </c>
      <c r="M309" s="44">
        <f t="shared" ref="M309:M371" si="20">SUM(I309:L309)</f>
        <v>1035.9099999999999</v>
      </c>
      <c r="N309" s="44">
        <f t="shared" si="18"/>
        <v>15964.09</v>
      </c>
      <c r="O309" s="52" t="s">
        <v>19</v>
      </c>
    </row>
    <row r="310" spans="1:15" s="39" customFormat="1" x14ac:dyDescent="0.25">
      <c r="A310" s="12"/>
      <c r="B310" s="52">
        <f t="shared" si="19"/>
        <v>305</v>
      </c>
      <c r="C310" s="53" t="s">
        <v>371</v>
      </c>
      <c r="D310" s="54" t="s">
        <v>356</v>
      </c>
      <c r="E310" s="53" t="s">
        <v>25</v>
      </c>
      <c r="F310" s="54" t="s">
        <v>360</v>
      </c>
      <c r="G310" s="43">
        <v>15000</v>
      </c>
      <c r="H310" s="43">
        <v>15000</v>
      </c>
      <c r="I310" s="43">
        <v>430.5</v>
      </c>
      <c r="J310" s="43">
        <v>0</v>
      </c>
      <c r="K310" s="43">
        <v>456</v>
      </c>
      <c r="L310" s="43">
        <f>4701.44-1224.08</f>
        <v>3477.3599999999997</v>
      </c>
      <c r="M310" s="44">
        <f t="shared" si="20"/>
        <v>4363.8599999999997</v>
      </c>
      <c r="N310" s="44">
        <f t="shared" si="18"/>
        <v>10636.14</v>
      </c>
      <c r="O310" s="52" t="s">
        <v>19</v>
      </c>
    </row>
    <row r="311" spans="1:15" s="39" customFormat="1" ht="22.5" x14ac:dyDescent="0.25">
      <c r="A311" s="12"/>
      <c r="B311" s="52">
        <f t="shared" si="19"/>
        <v>306</v>
      </c>
      <c r="C311" s="53" t="s">
        <v>372</v>
      </c>
      <c r="D311" s="54" t="s">
        <v>356</v>
      </c>
      <c r="E311" s="53" t="s">
        <v>25</v>
      </c>
      <c r="F311" s="54" t="s">
        <v>373</v>
      </c>
      <c r="G311" s="43">
        <v>18000</v>
      </c>
      <c r="H311" s="43">
        <v>18000</v>
      </c>
      <c r="I311" s="43">
        <v>516.6</v>
      </c>
      <c r="J311" s="43">
        <v>0</v>
      </c>
      <c r="K311" s="43">
        <v>547.20000000000005</v>
      </c>
      <c r="L311" s="43">
        <v>1162.92</v>
      </c>
      <c r="M311" s="44">
        <f t="shared" si="20"/>
        <v>2226.7200000000003</v>
      </c>
      <c r="N311" s="44">
        <f>+G311-M311</f>
        <v>15773.279999999999</v>
      </c>
      <c r="O311" s="52" t="s">
        <v>19</v>
      </c>
    </row>
    <row r="312" spans="1:15" s="39" customFormat="1" x14ac:dyDescent="0.25">
      <c r="A312" s="12"/>
      <c r="B312" s="52">
        <f t="shared" si="19"/>
        <v>307</v>
      </c>
      <c r="C312" s="53" t="s">
        <v>374</v>
      </c>
      <c r="D312" s="54" t="s">
        <v>356</v>
      </c>
      <c r="E312" s="53" t="s">
        <v>21</v>
      </c>
      <c r="F312" s="54" t="s">
        <v>375</v>
      </c>
      <c r="G312" s="43">
        <v>35000</v>
      </c>
      <c r="H312" s="43">
        <v>35000</v>
      </c>
      <c r="I312" s="43">
        <v>1004.5</v>
      </c>
      <c r="J312" s="43">
        <v>0</v>
      </c>
      <c r="K312" s="43">
        <v>1064</v>
      </c>
      <c r="L312" s="43">
        <f>7151.6-6120.39</f>
        <v>1031.21</v>
      </c>
      <c r="M312" s="44">
        <f t="shared" si="20"/>
        <v>3099.71</v>
      </c>
      <c r="N312" s="44">
        <f t="shared" ref="N312:N375" si="21">G312-M312</f>
        <v>31900.29</v>
      </c>
      <c r="O312" s="52" t="s">
        <v>23</v>
      </c>
    </row>
    <row r="313" spans="1:15" s="39" customFormat="1" x14ac:dyDescent="0.25">
      <c r="A313" s="12"/>
      <c r="B313" s="52">
        <f t="shared" si="19"/>
        <v>308</v>
      </c>
      <c r="C313" s="53" t="s">
        <v>376</v>
      </c>
      <c r="D313" s="54" t="s">
        <v>356</v>
      </c>
      <c r="E313" s="53" t="s">
        <v>25</v>
      </c>
      <c r="F313" s="54" t="s">
        <v>360</v>
      </c>
      <c r="G313" s="43">
        <v>15000</v>
      </c>
      <c r="H313" s="43">
        <v>15000</v>
      </c>
      <c r="I313" s="43">
        <v>430.5</v>
      </c>
      <c r="J313" s="43">
        <v>0</v>
      </c>
      <c r="K313" s="43">
        <v>456</v>
      </c>
      <c r="L313" s="43">
        <v>31.21</v>
      </c>
      <c r="M313" s="44">
        <f t="shared" si="20"/>
        <v>917.71</v>
      </c>
      <c r="N313" s="44">
        <f t="shared" si="21"/>
        <v>14082.29</v>
      </c>
      <c r="O313" s="52" t="s">
        <v>19</v>
      </c>
    </row>
    <row r="314" spans="1:15" s="39" customFormat="1" x14ac:dyDescent="0.25">
      <c r="A314" s="12"/>
      <c r="B314" s="52">
        <f t="shared" si="19"/>
        <v>309</v>
      </c>
      <c r="C314" s="53" t="s">
        <v>377</v>
      </c>
      <c r="D314" s="54" t="s">
        <v>356</v>
      </c>
      <c r="E314" s="53" t="s">
        <v>25</v>
      </c>
      <c r="F314" s="54" t="s">
        <v>360</v>
      </c>
      <c r="G314" s="43">
        <v>10000</v>
      </c>
      <c r="H314" s="43">
        <v>10000</v>
      </c>
      <c r="I314" s="43">
        <v>287</v>
      </c>
      <c r="J314" s="43">
        <v>0</v>
      </c>
      <c r="K314" s="43">
        <v>304</v>
      </c>
      <c r="L314" s="43">
        <v>29.21</v>
      </c>
      <c r="M314" s="44">
        <f t="shared" si="20"/>
        <v>620.21</v>
      </c>
      <c r="N314" s="44">
        <f t="shared" si="21"/>
        <v>9379.7900000000009</v>
      </c>
      <c r="O314" s="52" t="s">
        <v>19</v>
      </c>
    </row>
    <row r="315" spans="1:15" s="39" customFormat="1" x14ac:dyDescent="0.25">
      <c r="A315" s="12"/>
      <c r="B315" s="52">
        <f t="shared" si="19"/>
        <v>310</v>
      </c>
      <c r="C315" s="53" t="s">
        <v>378</v>
      </c>
      <c r="D315" s="54" t="s">
        <v>356</v>
      </c>
      <c r="E315" s="53" t="s">
        <v>25</v>
      </c>
      <c r="F315" s="54" t="s">
        <v>360</v>
      </c>
      <c r="G315" s="43">
        <v>15000</v>
      </c>
      <c r="H315" s="43">
        <v>15000</v>
      </c>
      <c r="I315" s="43">
        <v>430.5</v>
      </c>
      <c r="J315" s="43">
        <v>0</v>
      </c>
      <c r="K315" s="43">
        <v>456</v>
      </c>
      <c r="L315" s="43">
        <v>31.21</v>
      </c>
      <c r="M315" s="44">
        <f t="shared" si="20"/>
        <v>917.71</v>
      </c>
      <c r="N315" s="44">
        <f t="shared" si="21"/>
        <v>14082.29</v>
      </c>
      <c r="O315" s="52" t="s">
        <v>19</v>
      </c>
    </row>
    <row r="316" spans="1:15" s="39" customFormat="1" x14ac:dyDescent="0.25">
      <c r="A316" s="12"/>
      <c r="B316" s="52">
        <f t="shared" si="19"/>
        <v>311</v>
      </c>
      <c r="C316" s="53" t="s">
        <v>379</v>
      </c>
      <c r="D316" s="54" t="s">
        <v>356</v>
      </c>
      <c r="E316" s="53" t="s">
        <v>25</v>
      </c>
      <c r="F316" s="54" t="s">
        <v>360</v>
      </c>
      <c r="G316" s="43">
        <v>15000</v>
      </c>
      <c r="H316" s="43">
        <v>15000</v>
      </c>
      <c r="I316" s="43">
        <v>430.5</v>
      </c>
      <c r="J316" s="43">
        <v>0</v>
      </c>
      <c r="K316" s="43">
        <v>456</v>
      </c>
      <c r="L316" s="43">
        <v>531.21</v>
      </c>
      <c r="M316" s="44">
        <f t="shared" si="20"/>
        <v>1417.71</v>
      </c>
      <c r="N316" s="44">
        <f t="shared" si="21"/>
        <v>13582.29</v>
      </c>
      <c r="O316" s="52" t="s">
        <v>19</v>
      </c>
    </row>
    <row r="317" spans="1:15" s="39" customFormat="1" x14ac:dyDescent="0.25">
      <c r="A317" s="12"/>
      <c r="B317" s="52">
        <f t="shared" si="19"/>
        <v>312</v>
      </c>
      <c r="C317" s="53" t="s">
        <v>380</v>
      </c>
      <c r="D317" s="54" t="s">
        <v>356</v>
      </c>
      <c r="E317" s="53" t="s">
        <v>25</v>
      </c>
      <c r="F317" s="54" t="s">
        <v>375</v>
      </c>
      <c r="G317" s="43">
        <v>65000</v>
      </c>
      <c r="H317" s="43">
        <v>65000</v>
      </c>
      <c r="I317" s="43">
        <v>1865.5</v>
      </c>
      <c r="J317" s="43">
        <v>4427.58</v>
      </c>
      <c r="K317" s="43">
        <v>1976</v>
      </c>
      <c r="L317" s="43">
        <f>3925.43+29.21</f>
        <v>3954.64</v>
      </c>
      <c r="M317" s="44">
        <f t="shared" si="20"/>
        <v>12223.72</v>
      </c>
      <c r="N317" s="44">
        <f t="shared" si="21"/>
        <v>52776.28</v>
      </c>
      <c r="O317" s="52" t="s">
        <v>19</v>
      </c>
    </row>
    <row r="318" spans="1:15" s="39" customFormat="1" x14ac:dyDescent="0.25">
      <c r="A318" s="12"/>
      <c r="B318" s="52">
        <f t="shared" si="19"/>
        <v>313</v>
      </c>
      <c r="C318" s="53" t="s">
        <v>381</v>
      </c>
      <c r="D318" s="54" t="s">
        <v>356</v>
      </c>
      <c r="E318" s="53" t="s">
        <v>25</v>
      </c>
      <c r="F318" s="54" t="s">
        <v>360</v>
      </c>
      <c r="G318" s="43">
        <v>13000</v>
      </c>
      <c r="H318" s="43">
        <v>13000</v>
      </c>
      <c r="I318" s="43">
        <v>373.1</v>
      </c>
      <c r="J318" s="43">
        <v>0</v>
      </c>
      <c r="K318" s="43">
        <v>395.2</v>
      </c>
      <c r="L318" s="43">
        <v>531.21</v>
      </c>
      <c r="M318" s="44">
        <f t="shared" si="20"/>
        <v>1299.51</v>
      </c>
      <c r="N318" s="44">
        <f t="shared" si="21"/>
        <v>11700.49</v>
      </c>
      <c r="O318" s="52" t="s">
        <v>19</v>
      </c>
    </row>
    <row r="319" spans="1:15" s="39" customFormat="1" x14ac:dyDescent="0.25">
      <c r="A319" s="12"/>
      <c r="B319" s="52">
        <f t="shared" si="19"/>
        <v>314</v>
      </c>
      <c r="C319" s="53" t="s">
        <v>382</v>
      </c>
      <c r="D319" s="54" t="s">
        <v>356</v>
      </c>
      <c r="E319" s="53" t="s">
        <v>25</v>
      </c>
      <c r="F319" s="54" t="s">
        <v>360</v>
      </c>
      <c r="G319" s="43">
        <v>10000</v>
      </c>
      <c r="H319" s="43">
        <v>10000</v>
      </c>
      <c r="I319" s="43">
        <v>287</v>
      </c>
      <c r="J319" s="43">
        <v>0</v>
      </c>
      <c r="K319" s="43">
        <v>304</v>
      </c>
      <c r="L319" s="43">
        <v>31.21</v>
      </c>
      <c r="M319" s="44">
        <f t="shared" si="20"/>
        <v>622.21</v>
      </c>
      <c r="N319" s="44">
        <f t="shared" si="21"/>
        <v>9377.7900000000009</v>
      </c>
      <c r="O319" s="52" t="s">
        <v>19</v>
      </c>
    </row>
    <row r="320" spans="1:15" s="39" customFormat="1" x14ac:dyDescent="0.25">
      <c r="A320" s="12"/>
      <c r="B320" s="52">
        <f t="shared" si="19"/>
        <v>315</v>
      </c>
      <c r="C320" s="53" t="s">
        <v>383</v>
      </c>
      <c r="D320" s="54" t="s">
        <v>356</v>
      </c>
      <c r="E320" s="53" t="s">
        <v>25</v>
      </c>
      <c r="F320" s="54" t="s">
        <v>360</v>
      </c>
      <c r="G320" s="43">
        <v>10000</v>
      </c>
      <c r="H320" s="43">
        <v>10000</v>
      </c>
      <c r="I320" s="43">
        <v>287</v>
      </c>
      <c r="J320" s="43">
        <v>0</v>
      </c>
      <c r="K320" s="43">
        <v>304</v>
      </c>
      <c r="L320" s="43">
        <v>2438.62</v>
      </c>
      <c r="M320" s="44">
        <f t="shared" si="20"/>
        <v>3029.62</v>
      </c>
      <c r="N320" s="44">
        <f t="shared" si="21"/>
        <v>6970.38</v>
      </c>
      <c r="O320" s="52" t="s">
        <v>19</v>
      </c>
    </row>
    <row r="321" spans="1:15" s="39" customFormat="1" x14ac:dyDescent="0.25">
      <c r="A321" s="12"/>
      <c r="B321" s="52">
        <f t="shared" si="19"/>
        <v>316</v>
      </c>
      <c r="C321" s="53" t="s">
        <v>384</v>
      </c>
      <c r="D321" s="54" t="s">
        <v>356</v>
      </c>
      <c r="E321" s="53" t="s">
        <v>25</v>
      </c>
      <c r="F321" s="54" t="s">
        <v>360</v>
      </c>
      <c r="G321" s="43">
        <v>15000</v>
      </c>
      <c r="H321" s="43">
        <v>15000</v>
      </c>
      <c r="I321" s="43">
        <v>430.5</v>
      </c>
      <c r="J321" s="43">
        <v>0</v>
      </c>
      <c r="K321" s="43">
        <v>456</v>
      </c>
      <c r="L321" s="43">
        <v>29.21</v>
      </c>
      <c r="M321" s="44">
        <f t="shared" si="20"/>
        <v>915.71</v>
      </c>
      <c r="N321" s="44">
        <f t="shared" si="21"/>
        <v>14084.29</v>
      </c>
      <c r="O321" s="52" t="s">
        <v>19</v>
      </c>
    </row>
    <row r="322" spans="1:15" s="39" customFormat="1" x14ac:dyDescent="0.25">
      <c r="A322" s="12"/>
      <c r="B322" s="52">
        <f t="shared" si="19"/>
        <v>317</v>
      </c>
      <c r="C322" s="53" t="s">
        <v>385</v>
      </c>
      <c r="D322" s="54" t="s">
        <v>356</v>
      </c>
      <c r="E322" s="53" t="s">
        <v>25</v>
      </c>
      <c r="F322" s="54" t="s">
        <v>360</v>
      </c>
      <c r="G322" s="43">
        <v>15000</v>
      </c>
      <c r="H322" s="43">
        <v>15000</v>
      </c>
      <c r="I322" s="43">
        <v>430.5</v>
      </c>
      <c r="J322" s="43">
        <v>0</v>
      </c>
      <c r="K322" s="43">
        <v>456</v>
      </c>
      <c r="L322" s="43">
        <v>531.21</v>
      </c>
      <c r="M322" s="44">
        <f t="shared" si="20"/>
        <v>1417.71</v>
      </c>
      <c r="N322" s="44">
        <f t="shared" si="21"/>
        <v>13582.29</v>
      </c>
      <c r="O322" s="52" t="s">
        <v>19</v>
      </c>
    </row>
    <row r="323" spans="1:15" s="39" customFormat="1" ht="22.5" x14ac:dyDescent="0.25">
      <c r="A323" s="12"/>
      <c r="B323" s="52">
        <f t="shared" si="19"/>
        <v>318</v>
      </c>
      <c r="C323" s="53" t="s">
        <v>386</v>
      </c>
      <c r="D323" s="54" t="s">
        <v>356</v>
      </c>
      <c r="E323" s="53" t="s">
        <v>25</v>
      </c>
      <c r="F323" s="54" t="s">
        <v>373</v>
      </c>
      <c r="G323" s="43">
        <v>20000</v>
      </c>
      <c r="H323" s="43">
        <v>20000</v>
      </c>
      <c r="I323" s="43">
        <v>574</v>
      </c>
      <c r="J323" s="43">
        <v>0</v>
      </c>
      <c r="K323" s="43">
        <v>608</v>
      </c>
      <c r="L323" s="43">
        <v>531.21</v>
      </c>
      <c r="M323" s="44">
        <f t="shared" si="20"/>
        <v>1713.21</v>
      </c>
      <c r="N323" s="44">
        <f t="shared" si="21"/>
        <v>18286.79</v>
      </c>
      <c r="O323" s="52" t="s">
        <v>19</v>
      </c>
    </row>
    <row r="324" spans="1:15" s="39" customFormat="1" x14ac:dyDescent="0.25">
      <c r="A324" s="12"/>
      <c r="B324" s="52">
        <f t="shared" si="19"/>
        <v>319</v>
      </c>
      <c r="C324" s="53" t="s">
        <v>387</v>
      </c>
      <c r="D324" s="54" t="s">
        <v>356</v>
      </c>
      <c r="E324" s="53" t="s">
        <v>25</v>
      </c>
      <c r="F324" s="54" t="s">
        <v>360</v>
      </c>
      <c r="G324" s="43">
        <v>15000</v>
      </c>
      <c r="H324" s="43">
        <v>15000</v>
      </c>
      <c r="I324" s="43">
        <v>430.5</v>
      </c>
      <c r="J324" s="43">
        <v>0</v>
      </c>
      <c r="K324" s="43">
        <v>456</v>
      </c>
      <c r="L324" s="43">
        <v>31.21</v>
      </c>
      <c r="M324" s="44">
        <f t="shared" si="20"/>
        <v>917.71</v>
      </c>
      <c r="N324" s="44">
        <f t="shared" si="21"/>
        <v>14082.29</v>
      </c>
      <c r="O324" s="52" t="s">
        <v>19</v>
      </c>
    </row>
    <row r="325" spans="1:15" s="39" customFormat="1" x14ac:dyDescent="0.25">
      <c r="A325" s="12"/>
      <c r="B325" s="52">
        <f t="shared" si="19"/>
        <v>320</v>
      </c>
      <c r="C325" s="53" t="s">
        <v>388</v>
      </c>
      <c r="D325" s="54" t="s">
        <v>356</v>
      </c>
      <c r="E325" s="53" t="s">
        <v>25</v>
      </c>
      <c r="F325" s="54" t="s">
        <v>360</v>
      </c>
      <c r="G325" s="43">
        <v>15000</v>
      </c>
      <c r="H325" s="43">
        <v>15000</v>
      </c>
      <c r="I325" s="43">
        <v>430.5</v>
      </c>
      <c r="J325" s="43">
        <v>0</v>
      </c>
      <c r="K325" s="43">
        <v>456</v>
      </c>
      <c r="L325" s="43">
        <v>31.21</v>
      </c>
      <c r="M325" s="44">
        <f t="shared" si="20"/>
        <v>917.71</v>
      </c>
      <c r="N325" s="44">
        <f t="shared" si="21"/>
        <v>14082.29</v>
      </c>
      <c r="O325" s="52" t="s">
        <v>19</v>
      </c>
    </row>
    <row r="326" spans="1:15" s="39" customFormat="1" x14ac:dyDescent="0.25">
      <c r="A326" s="12"/>
      <c r="B326" s="52">
        <f t="shared" si="19"/>
        <v>321</v>
      </c>
      <c r="C326" s="53" t="s">
        <v>389</v>
      </c>
      <c r="D326" s="54" t="s">
        <v>356</v>
      </c>
      <c r="E326" s="53" t="s">
        <v>25</v>
      </c>
      <c r="F326" s="54" t="s">
        <v>360</v>
      </c>
      <c r="G326" s="43">
        <v>15000</v>
      </c>
      <c r="H326" s="43">
        <v>15000</v>
      </c>
      <c r="I326" s="43">
        <v>430.5</v>
      </c>
      <c r="J326" s="43">
        <v>0</v>
      </c>
      <c r="K326" s="43">
        <v>456</v>
      </c>
      <c r="L326" s="43">
        <v>31.21</v>
      </c>
      <c r="M326" s="44">
        <f t="shared" si="20"/>
        <v>917.71</v>
      </c>
      <c r="N326" s="44">
        <f t="shared" si="21"/>
        <v>14082.29</v>
      </c>
      <c r="O326" s="52" t="s">
        <v>19</v>
      </c>
    </row>
    <row r="327" spans="1:15" s="39" customFormat="1" x14ac:dyDescent="0.25">
      <c r="A327" s="12"/>
      <c r="B327" s="52">
        <f t="shared" si="19"/>
        <v>322</v>
      </c>
      <c r="C327" s="53" t="s">
        <v>390</v>
      </c>
      <c r="D327" s="54" t="s">
        <v>356</v>
      </c>
      <c r="E327" s="53" t="s">
        <v>25</v>
      </c>
      <c r="F327" s="54" t="s">
        <v>360</v>
      </c>
      <c r="G327" s="43">
        <v>15000</v>
      </c>
      <c r="H327" s="43">
        <v>15000</v>
      </c>
      <c r="I327" s="43">
        <v>430.5</v>
      </c>
      <c r="J327" s="43">
        <v>0</v>
      </c>
      <c r="K327" s="43">
        <v>456</v>
      </c>
      <c r="L327" s="43">
        <v>31.21</v>
      </c>
      <c r="M327" s="44">
        <f t="shared" si="20"/>
        <v>917.71</v>
      </c>
      <c r="N327" s="44">
        <f t="shared" si="21"/>
        <v>14082.29</v>
      </c>
      <c r="O327" s="52" t="s">
        <v>19</v>
      </c>
    </row>
    <row r="328" spans="1:15" s="39" customFormat="1" x14ac:dyDescent="0.25">
      <c r="A328" s="12"/>
      <c r="B328" s="52">
        <f t="shared" si="19"/>
        <v>323</v>
      </c>
      <c r="C328" s="53" t="s">
        <v>391</v>
      </c>
      <c r="D328" s="54" t="s">
        <v>356</v>
      </c>
      <c r="E328" s="53" t="s">
        <v>25</v>
      </c>
      <c r="F328" s="54" t="s">
        <v>360</v>
      </c>
      <c r="G328" s="43">
        <v>13000</v>
      </c>
      <c r="H328" s="43">
        <v>13000</v>
      </c>
      <c r="I328" s="43">
        <v>373.1</v>
      </c>
      <c r="J328" s="43">
        <v>0</v>
      </c>
      <c r="K328" s="43">
        <v>395.2</v>
      </c>
      <c r="L328" s="43">
        <v>31.21</v>
      </c>
      <c r="M328" s="44">
        <f t="shared" si="20"/>
        <v>799.51</v>
      </c>
      <c r="N328" s="44">
        <f t="shared" si="21"/>
        <v>12200.49</v>
      </c>
      <c r="O328" s="52" t="s">
        <v>19</v>
      </c>
    </row>
    <row r="329" spans="1:15" s="39" customFormat="1" x14ac:dyDescent="0.25">
      <c r="A329" s="12"/>
      <c r="B329" s="52">
        <f t="shared" ref="B329:B392" si="22">+B328+1</f>
        <v>324</v>
      </c>
      <c r="C329" s="53" t="s">
        <v>392</v>
      </c>
      <c r="D329" s="54" t="s">
        <v>356</v>
      </c>
      <c r="E329" s="53" t="s">
        <v>25</v>
      </c>
      <c r="F329" s="54" t="s">
        <v>360</v>
      </c>
      <c r="G329" s="43">
        <v>10000</v>
      </c>
      <c r="H329" s="43">
        <v>10000</v>
      </c>
      <c r="I329" s="43">
        <v>287</v>
      </c>
      <c r="J329" s="43">
        <v>0</v>
      </c>
      <c r="K329" s="43">
        <v>304</v>
      </c>
      <c r="L329" s="43">
        <v>31.21</v>
      </c>
      <c r="M329" s="44">
        <f t="shared" si="20"/>
        <v>622.21</v>
      </c>
      <c r="N329" s="44">
        <f t="shared" si="21"/>
        <v>9377.7900000000009</v>
      </c>
      <c r="O329" s="52" t="s">
        <v>19</v>
      </c>
    </row>
    <row r="330" spans="1:15" s="39" customFormat="1" x14ac:dyDescent="0.25">
      <c r="A330" s="12"/>
      <c r="B330" s="52">
        <f t="shared" si="22"/>
        <v>325</v>
      </c>
      <c r="C330" s="53" t="s">
        <v>393</v>
      </c>
      <c r="D330" s="54" t="s">
        <v>356</v>
      </c>
      <c r="E330" s="53" t="s">
        <v>25</v>
      </c>
      <c r="F330" s="54" t="s">
        <v>362</v>
      </c>
      <c r="G330" s="43">
        <v>20000</v>
      </c>
      <c r="H330" s="43">
        <v>20000</v>
      </c>
      <c r="I330" s="43">
        <v>574</v>
      </c>
      <c r="J330" s="43">
        <v>0</v>
      </c>
      <c r="K330" s="43">
        <v>608</v>
      </c>
      <c r="L330" s="43">
        <v>31.21</v>
      </c>
      <c r="M330" s="44">
        <f t="shared" si="20"/>
        <v>1213.21</v>
      </c>
      <c r="N330" s="44">
        <f t="shared" si="21"/>
        <v>18786.79</v>
      </c>
      <c r="O330" s="52" t="s">
        <v>19</v>
      </c>
    </row>
    <row r="331" spans="1:15" s="39" customFormat="1" x14ac:dyDescent="0.25">
      <c r="A331" s="12"/>
      <c r="B331" s="52">
        <f t="shared" si="22"/>
        <v>326</v>
      </c>
      <c r="C331" s="53" t="s">
        <v>394</v>
      </c>
      <c r="D331" s="54" t="s">
        <v>356</v>
      </c>
      <c r="E331" s="53" t="s">
        <v>25</v>
      </c>
      <c r="F331" s="54" t="s">
        <v>357</v>
      </c>
      <c r="G331" s="43">
        <v>11000</v>
      </c>
      <c r="H331" s="43">
        <v>11000</v>
      </c>
      <c r="I331" s="43">
        <v>315.7</v>
      </c>
      <c r="J331" s="43">
        <v>0</v>
      </c>
      <c r="K331" s="43">
        <v>334.4</v>
      </c>
      <c r="L331" s="43">
        <v>31.21</v>
      </c>
      <c r="M331" s="44">
        <f t="shared" si="20"/>
        <v>681.31</v>
      </c>
      <c r="N331" s="44">
        <f t="shared" si="21"/>
        <v>10318.69</v>
      </c>
      <c r="O331" s="52" t="s">
        <v>19</v>
      </c>
    </row>
    <row r="332" spans="1:15" s="39" customFormat="1" x14ac:dyDescent="0.25">
      <c r="A332" s="12"/>
      <c r="B332" s="52">
        <f t="shared" si="22"/>
        <v>327</v>
      </c>
      <c r="C332" s="53" t="s">
        <v>395</v>
      </c>
      <c r="D332" s="54" t="s">
        <v>356</v>
      </c>
      <c r="E332" s="53" t="s">
        <v>25</v>
      </c>
      <c r="F332" s="54" t="s">
        <v>357</v>
      </c>
      <c r="G332" s="43">
        <v>17000</v>
      </c>
      <c r="H332" s="43">
        <v>17000</v>
      </c>
      <c r="I332" s="43">
        <v>487.9</v>
      </c>
      <c r="J332" s="43">
        <v>0</v>
      </c>
      <c r="K332" s="43">
        <v>516.79999999999995</v>
      </c>
      <c r="L332" s="43">
        <v>31.21</v>
      </c>
      <c r="M332" s="44">
        <f t="shared" si="20"/>
        <v>1035.9099999999999</v>
      </c>
      <c r="N332" s="44">
        <f t="shared" si="21"/>
        <v>15964.09</v>
      </c>
      <c r="O332" s="52" t="s">
        <v>19</v>
      </c>
    </row>
    <row r="333" spans="1:15" s="39" customFormat="1" x14ac:dyDescent="0.25">
      <c r="A333" s="12"/>
      <c r="B333" s="52">
        <f t="shared" si="22"/>
        <v>328</v>
      </c>
      <c r="C333" s="53" t="s">
        <v>396</v>
      </c>
      <c r="D333" s="54" t="s">
        <v>356</v>
      </c>
      <c r="E333" s="53" t="s">
        <v>25</v>
      </c>
      <c r="F333" s="54" t="s">
        <v>357</v>
      </c>
      <c r="G333" s="43">
        <v>10000</v>
      </c>
      <c r="H333" s="43">
        <v>10000</v>
      </c>
      <c r="I333" s="43">
        <v>287</v>
      </c>
      <c r="J333" s="43">
        <v>0</v>
      </c>
      <c r="K333" s="43">
        <v>304</v>
      </c>
      <c r="L333" s="43">
        <v>27.21</v>
      </c>
      <c r="M333" s="44">
        <f t="shared" si="20"/>
        <v>618.21</v>
      </c>
      <c r="N333" s="44">
        <f t="shared" si="21"/>
        <v>9381.7900000000009</v>
      </c>
      <c r="O333" s="52" t="s">
        <v>19</v>
      </c>
    </row>
    <row r="334" spans="1:15" s="39" customFormat="1" x14ac:dyDescent="0.25">
      <c r="A334" s="12"/>
      <c r="B334" s="52">
        <f t="shared" si="22"/>
        <v>329</v>
      </c>
      <c r="C334" s="53" t="s">
        <v>397</v>
      </c>
      <c r="D334" s="54" t="s">
        <v>356</v>
      </c>
      <c r="E334" s="53" t="s">
        <v>21</v>
      </c>
      <c r="F334" s="54" t="s">
        <v>375</v>
      </c>
      <c r="G334" s="43">
        <v>55000</v>
      </c>
      <c r="H334" s="43">
        <v>55000</v>
      </c>
      <c r="I334" s="43">
        <v>1578.5</v>
      </c>
      <c r="J334" s="43">
        <v>2045.04</v>
      </c>
      <c r="K334" s="43">
        <v>1672</v>
      </c>
      <c r="L334" s="43">
        <v>3462.13</v>
      </c>
      <c r="M334" s="44">
        <f t="shared" si="20"/>
        <v>8757.67</v>
      </c>
      <c r="N334" s="44">
        <f t="shared" si="21"/>
        <v>46242.33</v>
      </c>
      <c r="O334" s="52" t="s">
        <v>19</v>
      </c>
    </row>
    <row r="335" spans="1:15" s="39" customFormat="1" x14ac:dyDescent="0.25">
      <c r="A335" s="12"/>
      <c r="B335" s="52">
        <f t="shared" si="22"/>
        <v>330</v>
      </c>
      <c r="C335" s="53" t="s">
        <v>398</v>
      </c>
      <c r="D335" s="54" t="s">
        <v>356</v>
      </c>
      <c r="E335" s="53" t="s">
        <v>25</v>
      </c>
      <c r="F335" s="54" t="s">
        <v>362</v>
      </c>
      <c r="G335" s="43">
        <v>10000</v>
      </c>
      <c r="H335" s="43">
        <v>10000</v>
      </c>
      <c r="I335" s="43">
        <v>287</v>
      </c>
      <c r="J335" s="43">
        <v>0</v>
      </c>
      <c r="K335" s="43">
        <v>304</v>
      </c>
      <c r="L335" s="43">
        <v>29.21</v>
      </c>
      <c r="M335" s="44">
        <f t="shared" si="20"/>
        <v>620.21</v>
      </c>
      <c r="N335" s="44">
        <f t="shared" si="21"/>
        <v>9379.7900000000009</v>
      </c>
      <c r="O335" s="52" t="s">
        <v>19</v>
      </c>
    </row>
    <row r="336" spans="1:15" s="39" customFormat="1" ht="22.5" x14ac:dyDescent="0.25">
      <c r="A336" s="12"/>
      <c r="B336" s="52">
        <f t="shared" si="22"/>
        <v>331</v>
      </c>
      <c r="C336" s="53" t="s">
        <v>399</v>
      </c>
      <c r="D336" s="54" t="s">
        <v>356</v>
      </c>
      <c r="E336" s="53" t="s">
        <v>25</v>
      </c>
      <c r="F336" s="54" t="s">
        <v>373</v>
      </c>
      <c r="G336" s="43">
        <v>20000</v>
      </c>
      <c r="H336" s="43">
        <v>20000</v>
      </c>
      <c r="I336" s="43">
        <v>574</v>
      </c>
      <c r="J336" s="43">
        <v>0</v>
      </c>
      <c r="K336" s="43">
        <v>608</v>
      </c>
      <c r="L336" s="43">
        <v>31.21</v>
      </c>
      <c r="M336" s="44">
        <f t="shared" si="20"/>
        <v>1213.21</v>
      </c>
      <c r="N336" s="44">
        <f t="shared" si="21"/>
        <v>18786.79</v>
      </c>
      <c r="O336" s="52" t="s">
        <v>19</v>
      </c>
    </row>
    <row r="337" spans="1:15" s="39" customFormat="1" x14ac:dyDescent="0.25">
      <c r="A337" s="12"/>
      <c r="B337" s="52">
        <f t="shared" si="22"/>
        <v>332</v>
      </c>
      <c r="C337" s="53" t="s">
        <v>400</v>
      </c>
      <c r="D337" s="54" t="s">
        <v>356</v>
      </c>
      <c r="E337" s="53" t="s">
        <v>25</v>
      </c>
      <c r="F337" s="54" t="s">
        <v>360</v>
      </c>
      <c r="G337" s="43">
        <v>11000</v>
      </c>
      <c r="H337" s="43">
        <v>11000</v>
      </c>
      <c r="I337" s="43">
        <v>315.7</v>
      </c>
      <c r="J337" s="43">
        <v>0</v>
      </c>
      <c r="K337" s="43">
        <v>334.4</v>
      </c>
      <c r="L337" s="43">
        <v>31.21</v>
      </c>
      <c r="M337" s="44">
        <f t="shared" si="20"/>
        <v>681.31</v>
      </c>
      <c r="N337" s="44">
        <f t="shared" si="21"/>
        <v>10318.69</v>
      </c>
      <c r="O337" s="52" t="s">
        <v>19</v>
      </c>
    </row>
    <row r="338" spans="1:15" s="39" customFormat="1" x14ac:dyDescent="0.25">
      <c r="A338" s="12"/>
      <c r="B338" s="52">
        <f t="shared" si="22"/>
        <v>333</v>
      </c>
      <c r="C338" s="53" t="s">
        <v>401</v>
      </c>
      <c r="D338" s="54" t="s">
        <v>356</v>
      </c>
      <c r="E338" s="53" t="s">
        <v>25</v>
      </c>
      <c r="F338" s="54" t="s">
        <v>360</v>
      </c>
      <c r="G338" s="43">
        <v>10000</v>
      </c>
      <c r="H338" s="43">
        <v>10000</v>
      </c>
      <c r="I338" s="43">
        <v>287</v>
      </c>
      <c r="J338" s="43">
        <v>0</v>
      </c>
      <c r="K338" s="43">
        <v>304</v>
      </c>
      <c r="L338" s="43">
        <v>3475.36</v>
      </c>
      <c r="M338" s="44">
        <f t="shared" si="20"/>
        <v>4066.36</v>
      </c>
      <c r="N338" s="44">
        <f t="shared" si="21"/>
        <v>5933.6399999999994</v>
      </c>
      <c r="O338" s="52" t="s">
        <v>19</v>
      </c>
    </row>
    <row r="339" spans="1:15" s="39" customFormat="1" x14ac:dyDescent="0.25">
      <c r="A339" s="12"/>
      <c r="B339" s="52">
        <f t="shared" si="22"/>
        <v>334</v>
      </c>
      <c r="C339" s="53" t="s">
        <v>402</v>
      </c>
      <c r="D339" s="54" t="s">
        <v>356</v>
      </c>
      <c r="E339" s="53" t="s">
        <v>25</v>
      </c>
      <c r="F339" s="54" t="s">
        <v>360</v>
      </c>
      <c r="G339" s="43">
        <v>15000</v>
      </c>
      <c r="H339" s="43">
        <v>15000</v>
      </c>
      <c r="I339" s="43">
        <v>430.5</v>
      </c>
      <c r="J339" s="43">
        <v>0</v>
      </c>
      <c r="K339" s="43">
        <v>456</v>
      </c>
      <c r="L339" s="43">
        <v>3465</v>
      </c>
      <c r="M339" s="44">
        <f t="shared" si="20"/>
        <v>4351.5</v>
      </c>
      <c r="N339" s="44">
        <f t="shared" si="21"/>
        <v>10648.5</v>
      </c>
      <c r="O339" s="52" t="s">
        <v>19</v>
      </c>
    </row>
    <row r="340" spans="1:15" s="39" customFormat="1" x14ac:dyDescent="0.25">
      <c r="A340" s="12"/>
      <c r="B340" s="52">
        <f t="shared" si="22"/>
        <v>335</v>
      </c>
      <c r="C340" s="53" t="s">
        <v>403</v>
      </c>
      <c r="D340" s="54" t="s">
        <v>356</v>
      </c>
      <c r="E340" s="53" t="s">
        <v>25</v>
      </c>
      <c r="F340" s="54" t="s">
        <v>362</v>
      </c>
      <c r="G340" s="43">
        <v>20000</v>
      </c>
      <c r="H340" s="43">
        <v>20000</v>
      </c>
      <c r="I340" s="43">
        <v>574</v>
      </c>
      <c r="J340" s="43">
        <v>0</v>
      </c>
      <c r="K340" s="43">
        <v>608</v>
      </c>
      <c r="L340" s="43">
        <v>4546.91</v>
      </c>
      <c r="M340" s="44">
        <f t="shared" si="20"/>
        <v>5728.91</v>
      </c>
      <c r="N340" s="44">
        <f t="shared" si="21"/>
        <v>14271.09</v>
      </c>
      <c r="O340" s="52" t="s">
        <v>19</v>
      </c>
    </row>
    <row r="341" spans="1:15" s="39" customFormat="1" ht="22.5" x14ac:dyDescent="0.25">
      <c r="A341" s="12"/>
      <c r="B341" s="52">
        <f t="shared" si="22"/>
        <v>336</v>
      </c>
      <c r="C341" s="53" t="s">
        <v>404</v>
      </c>
      <c r="D341" s="54" t="s">
        <v>356</v>
      </c>
      <c r="E341" s="53" t="s">
        <v>25</v>
      </c>
      <c r="F341" s="54" t="s">
        <v>373</v>
      </c>
      <c r="G341" s="43">
        <v>13100</v>
      </c>
      <c r="H341" s="43">
        <v>13100</v>
      </c>
      <c r="I341" s="43">
        <v>375.97</v>
      </c>
      <c r="J341" s="43">
        <v>0</v>
      </c>
      <c r="K341" s="43">
        <v>398.24</v>
      </c>
      <c r="L341" s="43">
        <v>27.21</v>
      </c>
      <c r="M341" s="44">
        <f t="shared" si="20"/>
        <v>801.42000000000007</v>
      </c>
      <c r="N341" s="44">
        <f t="shared" si="21"/>
        <v>12298.58</v>
      </c>
      <c r="O341" s="52" t="s">
        <v>19</v>
      </c>
    </row>
    <row r="342" spans="1:15" s="39" customFormat="1" x14ac:dyDescent="0.25">
      <c r="A342" s="12"/>
      <c r="B342" s="60">
        <f t="shared" si="22"/>
        <v>337</v>
      </c>
      <c r="C342" s="61" t="s">
        <v>405</v>
      </c>
      <c r="D342" s="62" t="s">
        <v>356</v>
      </c>
      <c r="E342" s="61" t="s">
        <v>25</v>
      </c>
      <c r="F342" s="62" t="s">
        <v>360</v>
      </c>
      <c r="G342" s="63">
        <v>20000</v>
      </c>
      <c r="H342" s="63">
        <v>20000</v>
      </c>
      <c r="I342" s="63">
        <v>574</v>
      </c>
      <c r="J342" s="63">
        <v>0</v>
      </c>
      <c r="K342" s="63">
        <v>608</v>
      </c>
      <c r="L342" s="63">
        <v>6812.26</v>
      </c>
      <c r="M342" s="64">
        <f>+L342+K342+J342+I342</f>
        <v>7994.26</v>
      </c>
      <c r="N342" s="64">
        <f t="shared" si="21"/>
        <v>12005.74</v>
      </c>
      <c r="O342" s="60" t="s">
        <v>19</v>
      </c>
    </row>
    <row r="343" spans="1:15" s="39" customFormat="1" x14ac:dyDescent="0.25">
      <c r="A343" s="12"/>
      <c r="B343" s="52">
        <f t="shared" si="22"/>
        <v>338</v>
      </c>
      <c r="C343" s="53" t="s">
        <v>406</v>
      </c>
      <c r="D343" s="54" t="s">
        <v>356</v>
      </c>
      <c r="E343" s="53" t="s">
        <v>21</v>
      </c>
      <c r="F343" s="54" t="s">
        <v>375</v>
      </c>
      <c r="G343" s="43">
        <v>55000</v>
      </c>
      <c r="H343" s="43">
        <v>55000</v>
      </c>
      <c r="I343" s="43">
        <v>1578.5</v>
      </c>
      <c r="J343" s="43">
        <v>2559.6799999999998</v>
      </c>
      <c r="K343" s="43">
        <v>1672</v>
      </c>
      <c r="L343" s="43">
        <f>3301.64+550+29.21+100+1950</f>
        <v>5930.85</v>
      </c>
      <c r="M343" s="44">
        <f t="shared" si="20"/>
        <v>11741.03</v>
      </c>
      <c r="N343" s="44">
        <f t="shared" si="21"/>
        <v>43258.97</v>
      </c>
      <c r="O343" s="52" t="s">
        <v>19</v>
      </c>
    </row>
    <row r="344" spans="1:15" s="39" customFormat="1" x14ac:dyDescent="0.25">
      <c r="A344" s="12"/>
      <c r="B344" s="52">
        <f t="shared" si="22"/>
        <v>339</v>
      </c>
      <c r="C344" s="53" t="s">
        <v>407</v>
      </c>
      <c r="D344" s="54" t="s">
        <v>356</v>
      </c>
      <c r="E344" s="53" t="s">
        <v>25</v>
      </c>
      <c r="F344" s="54" t="s">
        <v>357</v>
      </c>
      <c r="G344" s="43">
        <v>15000</v>
      </c>
      <c r="H344" s="43">
        <v>15000</v>
      </c>
      <c r="I344" s="43">
        <v>430.5</v>
      </c>
      <c r="J344" s="43">
        <v>0</v>
      </c>
      <c r="K344" s="43">
        <v>456</v>
      </c>
      <c r="L344" s="43">
        <v>31.21</v>
      </c>
      <c r="M344" s="44">
        <f t="shared" si="20"/>
        <v>917.71</v>
      </c>
      <c r="N344" s="44">
        <f t="shared" si="21"/>
        <v>14082.29</v>
      </c>
      <c r="O344" s="52" t="s">
        <v>19</v>
      </c>
    </row>
    <row r="345" spans="1:15" s="39" customFormat="1" ht="22.5" x14ac:dyDescent="0.25">
      <c r="A345" s="12"/>
      <c r="B345" s="52">
        <f t="shared" si="22"/>
        <v>340</v>
      </c>
      <c r="C345" s="53" t="s">
        <v>408</v>
      </c>
      <c r="D345" s="54" t="s">
        <v>356</v>
      </c>
      <c r="E345" s="53" t="s">
        <v>25</v>
      </c>
      <c r="F345" s="54" t="s">
        <v>409</v>
      </c>
      <c r="G345" s="43">
        <v>18000</v>
      </c>
      <c r="H345" s="43">
        <v>18000</v>
      </c>
      <c r="I345" s="43">
        <v>516.6</v>
      </c>
      <c r="J345" s="43">
        <v>0</v>
      </c>
      <c r="K345" s="43">
        <v>547.20000000000005</v>
      </c>
      <c r="L345" s="43">
        <f>415.86+29.21+500</f>
        <v>945.06999999999994</v>
      </c>
      <c r="M345" s="44">
        <f>+L345+K345+J345+I345</f>
        <v>2008.87</v>
      </c>
      <c r="N345" s="44">
        <f>+G345-M345</f>
        <v>15991.130000000001</v>
      </c>
      <c r="O345" s="52" t="s">
        <v>19</v>
      </c>
    </row>
    <row r="346" spans="1:15" s="39" customFormat="1" x14ac:dyDescent="0.25">
      <c r="A346" s="12"/>
      <c r="B346" s="52">
        <f t="shared" si="22"/>
        <v>341</v>
      </c>
      <c r="C346" s="53" t="s">
        <v>410</v>
      </c>
      <c r="D346" s="54" t="s">
        <v>356</v>
      </c>
      <c r="E346" s="53" t="s">
        <v>25</v>
      </c>
      <c r="F346" s="54" t="s">
        <v>357</v>
      </c>
      <c r="G346" s="43">
        <v>13000</v>
      </c>
      <c r="H346" s="43">
        <v>13000</v>
      </c>
      <c r="I346" s="43">
        <v>373.1</v>
      </c>
      <c r="J346" s="43">
        <v>0</v>
      </c>
      <c r="K346" s="43">
        <v>395.2</v>
      </c>
      <c r="L346" s="43">
        <f>4006.33</f>
        <v>4006.33</v>
      </c>
      <c r="M346" s="44">
        <f>+L346+K346+J346+I346</f>
        <v>4774.63</v>
      </c>
      <c r="N346" s="44">
        <f t="shared" si="21"/>
        <v>8225.369999999999</v>
      </c>
      <c r="O346" s="52" t="s">
        <v>19</v>
      </c>
    </row>
    <row r="347" spans="1:15" s="39" customFormat="1" x14ac:dyDescent="0.25">
      <c r="A347" s="12"/>
      <c r="B347" s="52">
        <f t="shared" si="22"/>
        <v>342</v>
      </c>
      <c r="C347" s="53" t="s">
        <v>411</v>
      </c>
      <c r="D347" s="54" t="s">
        <v>356</v>
      </c>
      <c r="E347" s="53" t="s">
        <v>25</v>
      </c>
      <c r="F347" s="54" t="s">
        <v>360</v>
      </c>
      <c r="G347" s="43">
        <v>15000</v>
      </c>
      <c r="H347" s="43">
        <v>15000</v>
      </c>
      <c r="I347" s="43">
        <v>430.5</v>
      </c>
      <c r="J347" s="43">
        <v>0</v>
      </c>
      <c r="K347" s="43">
        <v>456</v>
      </c>
      <c r="L347" s="43">
        <v>31.21</v>
      </c>
      <c r="M347" s="44">
        <f t="shared" si="20"/>
        <v>917.71</v>
      </c>
      <c r="N347" s="44">
        <f t="shared" si="21"/>
        <v>14082.29</v>
      </c>
      <c r="O347" s="52" t="s">
        <v>19</v>
      </c>
    </row>
    <row r="348" spans="1:15" s="39" customFormat="1" x14ac:dyDescent="0.25">
      <c r="A348" s="12"/>
      <c r="B348" s="52">
        <f t="shared" si="22"/>
        <v>343</v>
      </c>
      <c r="C348" s="53" t="s">
        <v>412</v>
      </c>
      <c r="D348" s="54" t="s">
        <v>356</v>
      </c>
      <c r="E348" s="53" t="s">
        <v>25</v>
      </c>
      <c r="F348" s="54" t="s">
        <v>360</v>
      </c>
      <c r="G348" s="43">
        <v>15000</v>
      </c>
      <c r="H348" s="43">
        <v>15000</v>
      </c>
      <c r="I348" s="43">
        <v>430.5</v>
      </c>
      <c r="J348" s="43">
        <v>0</v>
      </c>
      <c r="K348" s="43">
        <v>456</v>
      </c>
      <c r="L348" s="43">
        <v>31.21</v>
      </c>
      <c r="M348" s="44">
        <f t="shared" si="20"/>
        <v>917.71</v>
      </c>
      <c r="N348" s="44">
        <f t="shared" si="21"/>
        <v>14082.29</v>
      </c>
      <c r="O348" s="52" t="s">
        <v>19</v>
      </c>
    </row>
    <row r="349" spans="1:15" s="39" customFormat="1" x14ac:dyDescent="0.25">
      <c r="A349" s="12"/>
      <c r="B349" s="52">
        <f t="shared" si="22"/>
        <v>344</v>
      </c>
      <c r="C349" s="53" t="s">
        <v>413</v>
      </c>
      <c r="D349" s="54" t="s">
        <v>356</v>
      </c>
      <c r="E349" s="53" t="s">
        <v>25</v>
      </c>
      <c r="F349" s="54" t="s">
        <v>357</v>
      </c>
      <c r="G349" s="43">
        <v>15000</v>
      </c>
      <c r="H349" s="43">
        <v>15000</v>
      </c>
      <c r="I349" s="43">
        <v>430.5</v>
      </c>
      <c r="J349" s="43">
        <v>0</v>
      </c>
      <c r="K349" s="43">
        <v>456</v>
      </c>
      <c r="L349" s="43">
        <v>31.21</v>
      </c>
      <c r="M349" s="44">
        <f t="shared" si="20"/>
        <v>917.71</v>
      </c>
      <c r="N349" s="44">
        <f t="shared" si="21"/>
        <v>14082.29</v>
      </c>
      <c r="O349" s="52" t="s">
        <v>19</v>
      </c>
    </row>
    <row r="350" spans="1:15" s="39" customFormat="1" x14ac:dyDescent="0.25">
      <c r="A350" s="12"/>
      <c r="B350" s="52">
        <f t="shared" si="22"/>
        <v>345</v>
      </c>
      <c r="C350" s="53" t="s">
        <v>414</v>
      </c>
      <c r="D350" s="54" t="s">
        <v>356</v>
      </c>
      <c r="E350" s="53" t="s">
        <v>25</v>
      </c>
      <c r="F350" s="54" t="s">
        <v>360</v>
      </c>
      <c r="G350" s="43">
        <v>15000</v>
      </c>
      <c r="H350" s="43">
        <v>15000</v>
      </c>
      <c r="I350" s="43">
        <v>430.5</v>
      </c>
      <c r="J350" s="43">
        <v>0</v>
      </c>
      <c r="K350" s="43">
        <v>456</v>
      </c>
      <c r="L350" s="43">
        <f>31.21+1000+2637.48</f>
        <v>3668.69</v>
      </c>
      <c r="M350" s="44">
        <f t="shared" si="20"/>
        <v>4555.1900000000005</v>
      </c>
      <c r="N350" s="44">
        <f t="shared" si="21"/>
        <v>10444.81</v>
      </c>
      <c r="O350" s="52" t="s">
        <v>19</v>
      </c>
    </row>
    <row r="351" spans="1:15" s="39" customFormat="1" x14ac:dyDescent="0.25">
      <c r="A351" s="12"/>
      <c r="B351" s="60">
        <f t="shared" si="22"/>
        <v>346</v>
      </c>
      <c r="C351" s="61" t="s">
        <v>415</v>
      </c>
      <c r="D351" s="62" t="s">
        <v>356</v>
      </c>
      <c r="E351" s="61" t="s">
        <v>25</v>
      </c>
      <c r="F351" s="62" t="s">
        <v>357</v>
      </c>
      <c r="G351" s="63">
        <v>15000</v>
      </c>
      <c r="H351" s="63">
        <v>15000</v>
      </c>
      <c r="I351" s="63">
        <v>430.5</v>
      </c>
      <c r="J351" s="63">
        <v>0</v>
      </c>
      <c r="K351" s="63">
        <v>456</v>
      </c>
      <c r="L351" s="63">
        <v>1031.21</v>
      </c>
      <c r="M351" s="64">
        <f t="shared" si="20"/>
        <v>1917.71</v>
      </c>
      <c r="N351" s="64">
        <f t="shared" si="21"/>
        <v>13082.29</v>
      </c>
      <c r="O351" s="60" t="s">
        <v>19</v>
      </c>
    </row>
    <row r="352" spans="1:15" s="39" customFormat="1" x14ac:dyDescent="0.25">
      <c r="A352" s="12"/>
      <c r="B352" s="52">
        <f t="shared" si="22"/>
        <v>347</v>
      </c>
      <c r="C352" s="53" t="s">
        <v>416</v>
      </c>
      <c r="D352" s="54" t="s">
        <v>356</v>
      </c>
      <c r="E352" s="53" t="s">
        <v>25</v>
      </c>
      <c r="F352" s="54" t="s">
        <v>360</v>
      </c>
      <c r="G352" s="43">
        <v>10000</v>
      </c>
      <c r="H352" s="43">
        <v>10000</v>
      </c>
      <c r="I352" s="43">
        <v>287</v>
      </c>
      <c r="J352" s="43">
        <v>0</v>
      </c>
      <c r="K352" s="43">
        <v>304</v>
      </c>
      <c r="L352" s="43">
        <v>31.21</v>
      </c>
      <c r="M352" s="44">
        <f t="shared" si="20"/>
        <v>622.21</v>
      </c>
      <c r="N352" s="44">
        <f t="shared" si="21"/>
        <v>9377.7900000000009</v>
      </c>
      <c r="O352" s="52" t="s">
        <v>19</v>
      </c>
    </row>
    <row r="353" spans="1:15" s="39" customFormat="1" x14ac:dyDescent="0.25">
      <c r="A353" s="12"/>
      <c r="B353" s="52">
        <f t="shared" si="22"/>
        <v>348</v>
      </c>
      <c r="C353" s="53" t="s">
        <v>417</v>
      </c>
      <c r="D353" s="54" t="s">
        <v>356</v>
      </c>
      <c r="E353" s="53" t="s">
        <v>25</v>
      </c>
      <c r="F353" s="54" t="s">
        <v>360</v>
      </c>
      <c r="G353" s="43">
        <v>15000</v>
      </c>
      <c r="H353" s="43">
        <v>15000</v>
      </c>
      <c r="I353" s="43">
        <v>430.5</v>
      </c>
      <c r="J353" s="43">
        <v>0</v>
      </c>
      <c r="K353" s="43">
        <v>456</v>
      </c>
      <c r="L353" s="43">
        <v>531.21</v>
      </c>
      <c r="M353" s="44">
        <f t="shared" si="20"/>
        <v>1417.71</v>
      </c>
      <c r="N353" s="44">
        <f t="shared" si="21"/>
        <v>13582.29</v>
      </c>
      <c r="O353" s="52" t="s">
        <v>19</v>
      </c>
    </row>
    <row r="354" spans="1:15" s="39" customFormat="1" x14ac:dyDescent="0.25">
      <c r="A354" s="12"/>
      <c r="B354" s="52">
        <f t="shared" si="22"/>
        <v>349</v>
      </c>
      <c r="C354" s="53" t="s">
        <v>418</v>
      </c>
      <c r="D354" s="54" t="s">
        <v>356</v>
      </c>
      <c r="E354" s="53" t="s">
        <v>25</v>
      </c>
      <c r="F354" s="54" t="s">
        <v>360</v>
      </c>
      <c r="G354" s="43">
        <v>10000</v>
      </c>
      <c r="H354" s="43">
        <v>10000</v>
      </c>
      <c r="I354" s="43">
        <v>287</v>
      </c>
      <c r="J354" s="43">
        <v>0</v>
      </c>
      <c r="K354" s="43">
        <v>304</v>
      </c>
      <c r="L354" s="43">
        <v>29.21</v>
      </c>
      <c r="M354" s="44">
        <f t="shared" si="20"/>
        <v>620.21</v>
      </c>
      <c r="N354" s="44">
        <f t="shared" si="21"/>
        <v>9379.7900000000009</v>
      </c>
      <c r="O354" s="52" t="s">
        <v>19</v>
      </c>
    </row>
    <row r="355" spans="1:15" s="39" customFormat="1" x14ac:dyDescent="0.25">
      <c r="A355" s="12"/>
      <c r="B355" s="52">
        <f t="shared" si="22"/>
        <v>350</v>
      </c>
      <c r="C355" s="53" t="s">
        <v>419</v>
      </c>
      <c r="D355" s="54" t="s">
        <v>356</v>
      </c>
      <c r="E355" s="53" t="s">
        <v>25</v>
      </c>
      <c r="F355" s="54" t="s">
        <v>375</v>
      </c>
      <c r="G355" s="43">
        <v>45000</v>
      </c>
      <c r="H355" s="43">
        <v>45000</v>
      </c>
      <c r="I355" s="43">
        <v>1291.5</v>
      </c>
      <c r="J355" s="43">
        <v>1148.33</v>
      </c>
      <c r="K355" s="43">
        <v>1368</v>
      </c>
      <c r="L355" s="43">
        <f>5830.82+450+31.21+12615.23+1700</f>
        <v>20627.259999999998</v>
      </c>
      <c r="M355" s="44">
        <f t="shared" si="20"/>
        <v>24435.089999999997</v>
      </c>
      <c r="N355" s="44">
        <f t="shared" si="21"/>
        <v>20564.910000000003</v>
      </c>
      <c r="O355" s="52" t="s">
        <v>19</v>
      </c>
    </row>
    <row r="356" spans="1:15" s="39" customFormat="1" x14ac:dyDescent="0.25">
      <c r="A356" s="12"/>
      <c r="B356" s="52">
        <f t="shared" si="22"/>
        <v>351</v>
      </c>
      <c r="C356" s="53" t="s">
        <v>420</v>
      </c>
      <c r="D356" s="54" t="s">
        <v>356</v>
      </c>
      <c r="E356" s="53" t="s">
        <v>25</v>
      </c>
      <c r="F356" s="54" t="s">
        <v>357</v>
      </c>
      <c r="G356" s="43">
        <v>15000</v>
      </c>
      <c r="H356" s="43">
        <v>15000</v>
      </c>
      <c r="I356" s="43">
        <v>430.5</v>
      </c>
      <c r="J356" s="43">
        <v>0</v>
      </c>
      <c r="K356" s="43">
        <v>456</v>
      </c>
      <c r="L356" s="43">
        <v>4388.63</v>
      </c>
      <c r="M356" s="44">
        <f t="shared" si="20"/>
        <v>5275.13</v>
      </c>
      <c r="N356" s="44">
        <f t="shared" si="21"/>
        <v>9724.869999999999</v>
      </c>
      <c r="O356" s="52" t="s">
        <v>19</v>
      </c>
    </row>
    <row r="357" spans="1:15" s="39" customFormat="1" x14ac:dyDescent="0.25">
      <c r="A357" s="12"/>
      <c r="B357" s="52">
        <f t="shared" si="22"/>
        <v>352</v>
      </c>
      <c r="C357" s="53" t="s">
        <v>421</v>
      </c>
      <c r="D357" s="54" t="s">
        <v>356</v>
      </c>
      <c r="E357" s="53" t="s">
        <v>25</v>
      </c>
      <c r="F357" s="54" t="s">
        <v>360</v>
      </c>
      <c r="G357" s="43">
        <v>15000</v>
      </c>
      <c r="H357" s="43">
        <v>15000</v>
      </c>
      <c r="I357" s="43">
        <v>430.5</v>
      </c>
      <c r="J357" s="43">
        <v>0</v>
      </c>
      <c r="K357" s="43">
        <v>456</v>
      </c>
      <c r="L357" s="43">
        <f>100+31.21+1000+4406.68+2637.48</f>
        <v>8175.3700000000008</v>
      </c>
      <c r="M357" s="44">
        <f t="shared" si="20"/>
        <v>9061.8700000000008</v>
      </c>
      <c r="N357" s="44">
        <f t="shared" si="21"/>
        <v>5938.1299999999992</v>
      </c>
      <c r="O357" s="52" t="s">
        <v>19</v>
      </c>
    </row>
    <row r="358" spans="1:15" s="39" customFormat="1" x14ac:dyDescent="0.25">
      <c r="A358" s="12"/>
      <c r="B358" s="52">
        <f t="shared" si="22"/>
        <v>353</v>
      </c>
      <c r="C358" s="53" t="s">
        <v>422</v>
      </c>
      <c r="D358" s="54" t="s">
        <v>356</v>
      </c>
      <c r="E358" s="53" t="s">
        <v>25</v>
      </c>
      <c r="F358" s="54" t="s">
        <v>360</v>
      </c>
      <c r="G358" s="43">
        <v>15000</v>
      </c>
      <c r="H358" s="43">
        <v>15000</v>
      </c>
      <c r="I358" s="43">
        <v>430.5</v>
      </c>
      <c r="J358" s="43">
        <v>0</v>
      </c>
      <c r="K358" s="43">
        <v>456</v>
      </c>
      <c r="L358" s="43">
        <v>31.21</v>
      </c>
      <c r="M358" s="44">
        <f t="shared" si="20"/>
        <v>917.71</v>
      </c>
      <c r="N358" s="44">
        <f t="shared" si="21"/>
        <v>14082.29</v>
      </c>
      <c r="O358" s="52" t="s">
        <v>19</v>
      </c>
    </row>
    <row r="359" spans="1:15" s="39" customFormat="1" x14ac:dyDescent="0.25">
      <c r="A359" s="12"/>
      <c r="B359" s="52">
        <f t="shared" si="22"/>
        <v>354</v>
      </c>
      <c r="C359" s="53" t="s">
        <v>423</v>
      </c>
      <c r="D359" s="54" t="s">
        <v>356</v>
      </c>
      <c r="E359" s="53" t="s">
        <v>25</v>
      </c>
      <c r="F359" s="54" t="s">
        <v>360</v>
      </c>
      <c r="G359" s="43">
        <v>10000</v>
      </c>
      <c r="H359" s="43">
        <v>10000</v>
      </c>
      <c r="I359" s="43">
        <v>287</v>
      </c>
      <c r="J359" s="43">
        <v>0</v>
      </c>
      <c r="K359" s="43">
        <v>304</v>
      </c>
      <c r="L359" s="43">
        <v>31.21</v>
      </c>
      <c r="M359" s="44">
        <f t="shared" si="20"/>
        <v>622.21</v>
      </c>
      <c r="N359" s="44">
        <f t="shared" si="21"/>
        <v>9377.7900000000009</v>
      </c>
      <c r="O359" s="52" t="s">
        <v>19</v>
      </c>
    </row>
    <row r="360" spans="1:15" s="39" customFormat="1" x14ac:dyDescent="0.25">
      <c r="A360" s="12"/>
      <c r="B360" s="60">
        <f t="shared" si="22"/>
        <v>355</v>
      </c>
      <c r="C360" s="61" t="s">
        <v>424</v>
      </c>
      <c r="D360" s="62" t="s">
        <v>356</v>
      </c>
      <c r="E360" s="61" t="s">
        <v>21</v>
      </c>
      <c r="F360" s="62" t="s">
        <v>375</v>
      </c>
      <c r="G360" s="63">
        <v>55000</v>
      </c>
      <c r="H360" s="63">
        <v>55000</v>
      </c>
      <c r="I360" s="63">
        <v>1578.5</v>
      </c>
      <c r="J360" s="63">
        <v>2559.6799999999998</v>
      </c>
      <c r="K360" s="63">
        <v>1672</v>
      </c>
      <c r="L360" s="63">
        <v>2960.49</v>
      </c>
      <c r="M360" s="64">
        <f>+L360+K360+J360+I360</f>
        <v>8770.67</v>
      </c>
      <c r="N360" s="64">
        <f>+G360-M360</f>
        <v>46229.33</v>
      </c>
      <c r="O360" s="60" t="s">
        <v>19</v>
      </c>
    </row>
    <row r="361" spans="1:15" s="39" customFormat="1" x14ac:dyDescent="0.25">
      <c r="A361" s="12"/>
      <c r="B361" s="52">
        <f t="shared" si="22"/>
        <v>356</v>
      </c>
      <c r="C361" s="53" t="s">
        <v>425</v>
      </c>
      <c r="D361" s="54" t="s">
        <v>356</v>
      </c>
      <c r="E361" s="53" t="s">
        <v>25</v>
      </c>
      <c r="F361" s="54" t="s">
        <v>357</v>
      </c>
      <c r="G361" s="43">
        <v>15000</v>
      </c>
      <c r="H361" s="43">
        <v>15000</v>
      </c>
      <c r="I361" s="43">
        <v>430.5</v>
      </c>
      <c r="J361" s="43">
        <v>0</v>
      </c>
      <c r="K361" s="43">
        <v>456</v>
      </c>
      <c r="L361" s="43">
        <v>31.21</v>
      </c>
      <c r="M361" s="44">
        <f t="shared" si="20"/>
        <v>917.71</v>
      </c>
      <c r="N361" s="44">
        <f t="shared" si="21"/>
        <v>14082.29</v>
      </c>
      <c r="O361" s="52" t="s">
        <v>19</v>
      </c>
    </row>
    <row r="362" spans="1:15" s="39" customFormat="1" x14ac:dyDescent="0.25">
      <c r="A362" s="12"/>
      <c r="B362" s="52">
        <f t="shared" si="22"/>
        <v>357</v>
      </c>
      <c r="C362" s="53" t="s">
        <v>426</v>
      </c>
      <c r="D362" s="54" t="s">
        <v>356</v>
      </c>
      <c r="E362" s="53" t="s">
        <v>25</v>
      </c>
      <c r="F362" s="54" t="s">
        <v>360</v>
      </c>
      <c r="G362" s="43">
        <v>15000</v>
      </c>
      <c r="H362" s="43">
        <v>15000</v>
      </c>
      <c r="I362" s="43">
        <v>430.5</v>
      </c>
      <c r="J362" s="43">
        <v>0</v>
      </c>
      <c r="K362" s="43">
        <v>456</v>
      </c>
      <c r="L362" s="43">
        <v>31.21</v>
      </c>
      <c r="M362" s="44">
        <f t="shared" si="20"/>
        <v>917.71</v>
      </c>
      <c r="N362" s="44">
        <f t="shared" si="21"/>
        <v>14082.29</v>
      </c>
      <c r="O362" s="52" t="s">
        <v>19</v>
      </c>
    </row>
    <row r="363" spans="1:15" s="39" customFormat="1" x14ac:dyDescent="0.25">
      <c r="A363" s="12"/>
      <c r="B363" s="52">
        <f t="shared" si="22"/>
        <v>358</v>
      </c>
      <c r="C363" s="53" t="s">
        <v>427</v>
      </c>
      <c r="D363" s="54" t="s">
        <v>356</v>
      </c>
      <c r="E363" s="53" t="s">
        <v>25</v>
      </c>
      <c r="F363" s="54" t="s">
        <v>357</v>
      </c>
      <c r="G363" s="43">
        <v>15000</v>
      </c>
      <c r="H363" s="43">
        <v>15000</v>
      </c>
      <c r="I363" s="43">
        <v>430.5</v>
      </c>
      <c r="J363" s="43">
        <v>0</v>
      </c>
      <c r="K363" s="43">
        <v>456</v>
      </c>
      <c r="L363" s="43">
        <v>31.21</v>
      </c>
      <c r="M363" s="44">
        <f t="shared" si="20"/>
        <v>917.71</v>
      </c>
      <c r="N363" s="44">
        <f t="shared" si="21"/>
        <v>14082.29</v>
      </c>
      <c r="O363" s="52" t="s">
        <v>19</v>
      </c>
    </row>
    <row r="364" spans="1:15" s="39" customFormat="1" x14ac:dyDescent="0.25">
      <c r="A364" s="12"/>
      <c r="B364" s="52">
        <f t="shared" si="22"/>
        <v>359</v>
      </c>
      <c r="C364" s="53" t="s">
        <v>428</v>
      </c>
      <c r="D364" s="54" t="s">
        <v>356</v>
      </c>
      <c r="E364" s="53" t="s">
        <v>25</v>
      </c>
      <c r="F364" s="54" t="s">
        <v>360</v>
      </c>
      <c r="G364" s="43">
        <v>15000</v>
      </c>
      <c r="H364" s="43">
        <v>15000</v>
      </c>
      <c r="I364" s="43">
        <v>430.5</v>
      </c>
      <c r="J364" s="43">
        <v>0</v>
      </c>
      <c r="K364" s="43">
        <v>456</v>
      </c>
      <c r="L364" s="43">
        <v>31.21</v>
      </c>
      <c r="M364" s="44">
        <f t="shared" si="20"/>
        <v>917.71</v>
      </c>
      <c r="N364" s="44">
        <f t="shared" si="21"/>
        <v>14082.29</v>
      </c>
      <c r="O364" s="52" t="s">
        <v>19</v>
      </c>
    </row>
    <row r="365" spans="1:15" s="39" customFormat="1" x14ac:dyDescent="0.25">
      <c r="A365" s="12"/>
      <c r="B365" s="52">
        <f t="shared" si="22"/>
        <v>360</v>
      </c>
      <c r="C365" s="53" t="s">
        <v>429</v>
      </c>
      <c r="D365" s="54" t="s">
        <v>356</v>
      </c>
      <c r="E365" s="53" t="s">
        <v>25</v>
      </c>
      <c r="F365" s="54" t="s">
        <v>357</v>
      </c>
      <c r="G365" s="43">
        <v>15000</v>
      </c>
      <c r="H365" s="43">
        <v>15000</v>
      </c>
      <c r="I365" s="43">
        <v>430.5</v>
      </c>
      <c r="J365" s="43">
        <v>0</v>
      </c>
      <c r="K365" s="43">
        <v>456</v>
      </c>
      <c r="L365" s="43">
        <v>31.21</v>
      </c>
      <c r="M365" s="44">
        <f t="shared" si="20"/>
        <v>917.71</v>
      </c>
      <c r="N365" s="44">
        <f t="shared" si="21"/>
        <v>14082.29</v>
      </c>
      <c r="O365" s="52" t="s">
        <v>19</v>
      </c>
    </row>
    <row r="366" spans="1:15" s="39" customFormat="1" x14ac:dyDescent="0.25">
      <c r="A366" s="12"/>
      <c r="B366" s="52">
        <f t="shared" si="22"/>
        <v>361</v>
      </c>
      <c r="C366" s="53" t="s">
        <v>430</v>
      </c>
      <c r="D366" s="54" t="s">
        <v>356</v>
      </c>
      <c r="E366" s="53" t="s">
        <v>25</v>
      </c>
      <c r="F366" s="54" t="s">
        <v>360</v>
      </c>
      <c r="G366" s="43">
        <v>15000</v>
      </c>
      <c r="H366" s="43">
        <v>15000</v>
      </c>
      <c r="I366" s="43">
        <v>430.5</v>
      </c>
      <c r="J366" s="43">
        <v>0</v>
      </c>
      <c r="K366" s="43">
        <v>456</v>
      </c>
      <c r="L366" s="43">
        <v>1510.71</v>
      </c>
      <c r="M366" s="44">
        <f>+L366+K366+I366</f>
        <v>2397.21</v>
      </c>
      <c r="N366" s="44">
        <f t="shared" si="21"/>
        <v>12602.79</v>
      </c>
      <c r="O366" s="52" t="s">
        <v>19</v>
      </c>
    </row>
    <row r="367" spans="1:15" s="39" customFormat="1" x14ac:dyDescent="0.25">
      <c r="A367" s="37"/>
      <c r="B367" s="52">
        <f t="shared" si="22"/>
        <v>362</v>
      </c>
      <c r="C367" s="53" t="s">
        <v>431</v>
      </c>
      <c r="D367" s="54" t="s">
        <v>356</v>
      </c>
      <c r="E367" s="53" t="s">
        <v>25</v>
      </c>
      <c r="F367" s="54" t="s">
        <v>360</v>
      </c>
      <c r="G367" s="43">
        <v>15000</v>
      </c>
      <c r="H367" s="43">
        <v>15000</v>
      </c>
      <c r="I367" s="43">
        <v>430.5</v>
      </c>
      <c r="J367" s="43">
        <v>0</v>
      </c>
      <c r="K367" s="43">
        <v>456</v>
      </c>
      <c r="L367" s="43">
        <v>31.21</v>
      </c>
      <c r="M367" s="44">
        <f t="shared" si="20"/>
        <v>917.71</v>
      </c>
      <c r="N367" s="44">
        <f t="shared" si="21"/>
        <v>14082.29</v>
      </c>
      <c r="O367" s="52" t="s">
        <v>19</v>
      </c>
    </row>
    <row r="368" spans="1:15" s="39" customFormat="1" x14ac:dyDescent="0.25">
      <c r="A368" s="12"/>
      <c r="B368" s="52">
        <f t="shared" si="22"/>
        <v>363</v>
      </c>
      <c r="C368" s="53" t="s">
        <v>432</v>
      </c>
      <c r="D368" s="54" t="s">
        <v>356</v>
      </c>
      <c r="E368" s="53" t="s">
        <v>25</v>
      </c>
      <c r="F368" s="54" t="s">
        <v>360</v>
      </c>
      <c r="G368" s="43">
        <v>15000</v>
      </c>
      <c r="H368" s="43">
        <v>15000</v>
      </c>
      <c r="I368" s="43">
        <v>430.5</v>
      </c>
      <c r="J368" s="43">
        <v>0</v>
      </c>
      <c r="K368" s="43">
        <v>456</v>
      </c>
      <c r="L368" s="43">
        <v>31.21</v>
      </c>
      <c r="M368" s="44">
        <f t="shared" si="20"/>
        <v>917.71</v>
      </c>
      <c r="N368" s="44">
        <f t="shared" si="21"/>
        <v>14082.29</v>
      </c>
      <c r="O368" s="52" t="s">
        <v>19</v>
      </c>
    </row>
    <row r="369" spans="1:15" s="39" customFormat="1" x14ac:dyDescent="0.25">
      <c r="A369" s="12"/>
      <c r="B369" s="52">
        <f t="shared" si="22"/>
        <v>364</v>
      </c>
      <c r="C369" s="53" t="s">
        <v>433</v>
      </c>
      <c r="D369" s="54" t="s">
        <v>356</v>
      </c>
      <c r="E369" s="53" t="s">
        <v>25</v>
      </c>
      <c r="F369" s="54" t="s">
        <v>360</v>
      </c>
      <c r="G369" s="43">
        <v>15000</v>
      </c>
      <c r="H369" s="43">
        <v>15000</v>
      </c>
      <c r="I369" s="43">
        <v>430.5</v>
      </c>
      <c r="J369" s="43">
        <v>0</v>
      </c>
      <c r="K369" s="43">
        <v>456</v>
      </c>
      <c r="L369" s="43">
        <f>415.86+31.21</f>
        <v>447.07</v>
      </c>
      <c r="M369" s="44">
        <f t="shared" si="20"/>
        <v>1333.57</v>
      </c>
      <c r="N369" s="44">
        <f t="shared" si="21"/>
        <v>13666.43</v>
      </c>
      <c r="O369" s="52" t="s">
        <v>19</v>
      </c>
    </row>
    <row r="370" spans="1:15" s="39" customFormat="1" x14ac:dyDescent="0.25">
      <c r="A370" s="12"/>
      <c r="B370" s="52">
        <f t="shared" si="22"/>
        <v>365</v>
      </c>
      <c r="C370" s="53" t="s">
        <v>434</v>
      </c>
      <c r="D370" s="54" t="s">
        <v>356</v>
      </c>
      <c r="E370" s="53" t="s">
        <v>25</v>
      </c>
      <c r="F370" s="54" t="s">
        <v>360</v>
      </c>
      <c r="G370" s="43">
        <v>15000</v>
      </c>
      <c r="H370" s="43">
        <v>15000</v>
      </c>
      <c r="I370" s="43">
        <v>430.5</v>
      </c>
      <c r="J370" s="43">
        <v>0</v>
      </c>
      <c r="K370" s="43">
        <v>456</v>
      </c>
      <c r="L370" s="43">
        <v>2889.53</v>
      </c>
      <c r="M370" s="44">
        <f t="shared" si="20"/>
        <v>3776.03</v>
      </c>
      <c r="N370" s="44">
        <f t="shared" si="21"/>
        <v>11223.97</v>
      </c>
      <c r="O370" s="52" t="s">
        <v>19</v>
      </c>
    </row>
    <row r="371" spans="1:15" s="39" customFormat="1" x14ac:dyDescent="0.25">
      <c r="A371" s="12"/>
      <c r="B371" s="52">
        <f t="shared" si="22"/>
        <v>366</v>
      </c>
      <c r="C371" s="53" t="s">
        <v>435</v>
      </c>
      <c r="D371" s="54" t="s">
        <v>356</v>
      </c>
      <c r="E371" s="53" t="s">
        <v>25</v>
      </c>
      <c r="F371" s="54" t="s">
        <v>362</v>
      </c>
      <c r="G371" s="43">
        <v>20000</v>
      </c>
      <c r="H371" s="43">
        <v>20000</v>
      </c>
      <c r="I371" s="43">
        <v>574</v>
      </c>
      <c r="J371" s="43">
        <v>0</v>
      </c>
      <c r="K371" s="43">
        <v>608</v>
      </c>
      <c r="L371" s="43">
        <v>31.21</v>
      </c>
      <c r="M371" s="44">
        <f t="shared" si="20"/>
        <v>1213.21</v>
      </c>
      <c r="N371" s="44">
        <f t="shared" si="21"/>
        <v>18786.79</v>
      </c>
      <c r="O371" s="52" t="s">
        <v>19</v>
      </c>
    </row>
    <row r="372" spans="1:15" s="39" customFormat="1" x14ac:dyDescent="0.25">
      <c r="A372" s="12"/>
      <c r="B372" s="52">
        <f t="shared" si="22"/>
        <v>367</v>
      </c>
      <c r="C372" s="53" t="s">
        <v>436</v>
      </c>
      <c r="D372" s="54" t="s">
        <v>356</v>
      </c>
      <c r="E372" s="53" t="s">
        <v>25</v>
      </c>
      <c r="F372" s="54" t="s">
        <v>360</v>
      </c>
      <c r="G372" s="43">
        <v>15000</v>
      </c>
      <c r="H372" s="43">
        <v>15000</v>
      </c>
      <c r="I372" s="43">
        <v>430.5</v>
      </c>
      <c r="J372" s="43">
        <v>0</v>
      </c>
      <c r="K372" s="43">
        <v>456</v>
      </c>
      <c r="L372" s="43">
        <v>31.21</v>
      </c>
      <c r="M372" s="44">
        <f t="shared" ref="M372:M433" si="23">SUM(I372:L372)</f>
        <v>917.71</v>
      </c>
      <c r="N372" s="44">
        <f t="shared" si="21"/>
        <v>14082.29</v>
      </c>
      <c r="O372" s="52" t="s">
        <v>19</v>
      </c>
    </row>
    <row r="373" spans="1:15" s="39" customFormat="1" x14ac:dyDescent="0.25">
      <c r="A373" s="12"/>
      <c r="B373" s="52">
        <f t="shared" si="22"/>
        <v>368</v>
      </c>
      <c r="C373" s="53" t="s">
        <v>437</v>
      </c>
      <c r="D373" s="54" t="s">
        <v>356</v>
      </c>
      <c r="E373" s="53" t="s">
        <v>25</v>
      </c>
      <c r="F373" s="54" t="s">
        <v>357</v>
      </c>
      <c r="G373" s="43">
        <v>10000</v>
      </c>
      <c r="H373" s="43">
        <v>10000</v>
      </c>
      <c r="I373" s="43">
        <v>287</v>
      </c>
      <c r="J373" s="43">
        <v>0</v>
      </c>
      <c r="K373" s="43">
        <v>304</v>
      </c>
      <c r="L373" s="43">
        <v>27.21</v>
      </c>
      <c r="M373" s="44">
        <f t="shared" si="23"/>
        <v>618.21</v>
      </c>
      <c r="N373" s="44">
        <f t="shared" si="21"/>
        <v>9381.7900000000009</v>
      </c>
      <c r="O373" s="52" t="s">
        <v>19</v>
      </c>
    </row>
    <row r="374" spans="1:15" s="39" customFormat="1" x14ac:dyDescent="0.25">
      <c r="A374" s="12"/>
      <c r="B374" s="60">
        <f t="shared" si="22"/>
        <v>369</v>
      </c>
      <c r="C374" s="61" t="s">
        <v>438</v>
      </c>
      <c r="D374" s="62" t="s">
        <v>356</v>
      </c>
      <c r="E374" s="61" t="s">
        <v>25</v>
      </c>
      <c r="F374" s="62" t="s">
        <v>357</v>
      </c>
      <c r="G374" s="63">
        <v>15000</v>
      </c>
      <c r="H374" s="63">
        <v>15000</v>
      </c>
      <c r="I374" s="63">
        <v>430.5</v>
      </c>
      <c r="J374" s="63">
        <v>0</v>
      </c>
      <c r="K374" s="63">
        <v>456</v>
      </c>
      <c r="L374" s="63">
        <v>7100.25</v>
      </c>
      <c r="M374" s="64">
        <f>+L374+K374+J374+I374</f>
        <v>7986.75</v>
      </c>
      <c r="N374" s="64">
        <f>+G374-M374</f>
        <v>7013.25</v>
      </c>
      <c r="O374" s="60" t="s">
        <v>19</v>
      </c>
    </row>
    <row r="375" spans="1:15" s="39" customFormat="1" ht="22.5" x14ac:dyDescent="0.25">
      <c r="A375" s="12"/>
      <c r="B375" s="52">
        <f t="shared" si="22"/>
        <v>370</v>
      </c>
      <c r="C375" s="53" t="s">
        <v>439</v>
      </c>
      <c r="D375" s="54" t="s">
        <v>356</v>
      </c>
      <c r="E375" s="53" t="s">
        <v>25</v>
      </c>
      <c r="F375" s="54" t="s">
        <v>373</v>
      </c>
      <c r="G375" s="43">
        <v>20000</v>
      </c>
      <c r="H375" s="43">
        <v>20000</v>
      </c>
      <c r="I375" s="43">
        <v>574</v>
      </c>
      <c r="J375" s="43">
        <v>0</v>
      </c>
      <c r="K375" s="43">
        <v>608</v>
      </c>
      <c r="L375" s="43">
        <v>27.21</v>
      </c>
      <c r="M375" s="44">
        <f t="shared" si="23"/>
        <v>1209.21</v>
      </c>
      <c r="N375" s="44">
        <f t="shared" si="21"/>
        <v>18790.79</v>
      </c>
      <c r="O375" s="52" t="s">
        <v>19</v>
      </c>
    </row>
    <row r="376" spans="1:15" s="39" customFormat="1" x14ac:dyDescent="0.25">
      <c r="A376" s="12"/>
      <c r="B376" s="52">
        <f t="shared" si="22"/>
        <v>371</v>
      </c>
      <c r="C376" s="53" t="s">
        <v>440</v>
      </c>
      <c r="D376" s="54" t="s">
        <v>356</v>
      </c>
      <c r="E376" s="53" t="s">
        <v>25</v>
      </c>
      <c r="F376" s="54" t="s">
        <v>360</v>
      </c>
      <c r="G376" s="43">
        <v>15000</v>
      </c>
      <c r="H376" s="43">
        <v>15000</v>
      </c>
      <c r="I376" s="43">
        <v>430.5</v>
      </c>
      <c r="J376" s="43">
        <v>0</v>
      </c>
      <c r="K376" s="43">
        <v>456</v>
      </c>
      <c r="L376" s="43">
        <f>31.21+2000+2637.48</f>
        <v>4668.6900000000005</v>
      </c>
      <c r="M376" s="44">
        <f t="shared" si="23"/>
        <v>5555.1900000000005</v>
      </c>
      <c r="N376" s="44">
        <f t="shared" ref="N376:N439" si="24">G376-M376</f>
        <v>9444.81</v>
      </c>
      <c r="O376" s="52" t="s">
        <v>19</v>
      </c>
    </row>
    <row r="377" spans="1:15" s="39" customFormat="1" x14ac:dyDescent="0.25">
      <c r="A377" s="12"/>
      <c r="B377" s="52">
        <f t="shared" si="22"/>
        <v>372</v>
      </c>
      <c r="C377" s="53" t="s">
        <v>441</v>
      </c>
      <c r="D377" s="54" t="s">
        <v>356</v>
      </c>
      <c r="E377" s="53" t="s">
        <v>25</v>
      </c>
      <c r="F377" s="54" t="s">
        <v>357</v>
      </c>
      <c r="G377" s="43">
        <v>15000</v>
      </c>
      <c r="H377" s="43">
        <v>15000</v>
      </c>
      <c r="I377" s="43">
        <v>430.5</v>
      </c>
      <c r="J377" s="43">
        <v>0</v>
      </c>
      <c r="K377" s="43">
        <v>456</v>
      </c>
      <c r="L377" s="43">
        <v>6304.76</v>
      </c>
      <c r="M377" s="44">
        <f t="shared" si="23"/>
        <v>7191.26</v>
      </c>
      <c r="N377" s="44">
        <f t="shared" si="24"/>
        <v>7808.74</v>
      </c>
      <c r="O377" s="52" t="s">
        <v>19</v>
      </c>
    </row>
    <row r="378" spans="1:15" s="39" customFormat="1" x14ac:dyDescent="0.25">
      <c r="A378" s="37"/>
      <c r="B378" s="52">
        <f t="shared" si="22"/>
        <v>373</v>
      </c>
      <c r="C378" s="53" t="s">
        <v>442</v>
      </c>
      <c r="D378" s="54" t="s">
        <v>356</v>
      </c>
      <c r="E378" s="53" t="s">
        <v>25</v>
      </c>
      <c r="F378" s="54" t="s">
        <v>360</v>
      </c>
      <c r="G378" s="43">
        <v>13000</v>
      </c>
      <c r="H378" s="43">
        <v>13000</v>
      </c>
      <c r="I378" s="43">
        <v>373.1</v>
      </c>
      <c r="J378" s="43">
        <v>0</v>
      </c>
      <c r="K378" s="43">
        <v>395.2</v>
      </c>
      <c r="L378" s="43">
        <v>27.21</v>
      </c>
      <c r="M378" s="44">
        <f t="shared" si="23"/>
        <v>795.51</v>
      </c>
      <c r="N378" s="44">
        <f t="shared" si="24"/>
        <v>12204.49</v>
      </c>
      <c r="O378" s="52" t="s">
        <v>19</v>
      </c>
    </row>
    <row r="379" spans="1:15" s="39" customFormat="1" x14ac:dyDescent="0.25">
      <c r="A379" s="12"/>
      <c r="B379" s="52">
        <f t="shared" si="22"/>
        <v>374</v>
      </c>
      <c r="C379" s="53" t="s">
        <v>443</v>
      </c>
      <c r="D379" s="54" t="s">
        <v>356</v>
      </c>
      <c r="E379" s="53" t="s">
        <v>25</v>
      </c>
      <c r="F379" s="54" t="s">
        <v>360</v>
      </c>
      <c r="G379" s="43">
        <v>13000</v>
      </c>
      <c r="H379" s="43">
        <v>13000</v>
      </c>
      <c r="I379" s="43">
        <v>373.1</v>
      </c>
      <c r="J379" s="43">
        <v>0</v>
      </c>
      <c r="K379" s="43">
        <v>395.2</v>
      </c>
      <c r="L379" s="43">
        <v>31.21</v>
      </c>
      <c r="M379" s="44">
        <f t="shared" si="23"/>
        <v>799.51</v>
      </c>
      <c r="N379" s="44">
        <f t="shared" si="24"/>
        <v>12200.49</v>
      </c>
      <c r="O379" s="52" t="s">
        <v>19</v>
      </c>
    </row>
    <row r="380" spans="1:15" s="39" customFormat="1" x14ac:dyDescent="0.25">
      <c r="A380" s="12"/>
      <c r="B380" s="52">
        <f t="shared" si="22"/>
        <v>375</v>
      </c>
      <c r="C380" s="53" t="s">
        <v>444</v>
      </c>
      <c r="D380" s="54" t="s">
        <v>356</v>
      </c>
      <c r="E380" s="53" t="s">
        <v>25</v>
      </c>
      <c r="F380" s="54" t="s">
        <v>360</v>
      </c>
      <c r="G380" s="43">
        <v>10000</v>
      </c>
      <c r="H380" s="43">
        <v>10000</v>
      </c>
      <c r="I380" s="43">
        <v>287</v>
      </c>
      <c r="J380" s="43">
        <v>0</v>
      </c>
      <c r="K380" s="43">
        <v>304</v>
      </c>
      <c r="L380" s="43">
        <v>27.21</v>
      </c>
      <c r="M380" s="44">
        <f t="shared" si="23"/>
        <v>618.21</v>
      </c>
      <c r="N380" s="44">
        <f t="shared" si="24"/>
        <v>9381.7900000000009</v>
      </c>
      <c r="O380" s="52" t="s">
        <v>19</v>
      </c>
    </row>
    <row r="381" spans="1:15" s="39" customFormat="1" x14ac:dyDescent="0.25">
      <c r="A381" s="12"/>
      <c r="B381" s="60">
        <f t="shared" si="22"/>
        <v>376</v>
      </c>
      <c r="C381" s="61" t="s">
        <v>445</v>
      </c>
      <c r="D381" s="62" t="s">
        <v>356</v>
      </c>
      <c r="E381" s="61" t="s">
        <v>25</v>
      </c>
      <c r="F381" s="62" t="s">
        <v>360</v>
      </c>
      <c r="G381" s="63">
        <v>10000</v>
      </c>
      <c r="H381" s="63">
        <v>10000</v>
      </c>
      <c r="I381" s="63">
        <v>287</v>
      </c>
      <c r="J381" s="63">
        <v>0</v>
      </c>
      <c r="K381" s="63">
        <v>304</v>
      </c>
      <c r="L381" s="63">
        <v>2079.2800000000002</v>
      </c>
      <c r="M381" s="64">
        <f t="shared" si="23"/>
        <v>2670.28</v>
      </c>
      <c r="N381" s="64">
        <f t="shared" si="24"/>
        <v>7329.7199999999993</v>
      </c>
      <c r="O381" s="60" t="s">
        <v>19</v>
      </c>
    </row>
    <row r="382" spans="1:15" s="39" customFormat="1" x14ac:dyDescent="0.25">
      <c r="A382" s="12"/>
      <c r="B382" s="52">
        <f t="shared" si="22"/>
        <v>377</v>
      </c>
      <c r="C382" s="53" t="s">
        <v>446</v>
      </c>
      <c r="D382" s="54" t="s">
        <v>356</v>
      </c>
      <c r="E382" s="53" t="s">
        <v>25</v>
      </c>
      <c r="F382" s="54" t="s">
        <v>360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f>31.25+500+2937.79</f>
        <v>3469.04</v>
      </c>
      <c r="M382" s="44">
        <f>+L382+K382+I382</f>
        <v>4355.54</v>
      </c>
      <c r="N382" s="44">
        <f t="shared" si="24"/>
        <v>10644.46</v>
      </c>
      <c r="O382" s="52" t="s">
        <v>19</v>
      </c>
    </row>
    <row r="383" spans="1:15" s="39" customFormat="1" x14ac:dyDescent="0.25">
      <c r="A383" s="12"/>
      <c r="B383" s="52">
        <f t="shared" si="22"/>
        <v>378</v>
      </c>
      <c r="C383" s="53" t="s">
        <v>447</v>
      </c>
      <c r="D383" s="54" t="s">
        <v>356</v>
      </c>
      <c r="E383" s="53" t="s">
        <v>25</v>
      </c>
      <c r="F383" s="54" t="s">
        <v>360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v>31.21</v>
      </c>
      <c r="M383" s="44">
        <f t="shared" si="23"/>
        <v>917.71</v>
      </c>
      <c r="N383" s="44">
        <f t="shared" si="24"/>
        <v>14082.29</v>
      </c>
      <c r="O383" s="52" t="s">
        <v>19</v>
      </c>
    </row>
    <row r="384" spans="1:15" s="39" customFormat="1" x14ac:dyDescent="0.25">
      <c r="A384" s="12"/>
      <c r="B384" s="52">
        <f t="shared" si="22"/>
        <v>379</v>
      </c>
      <c r="C384" s="53" t="s">
        <v>448</v>
      </c>
      <c r="D384" s="54" t="s">
        <v>356</v>
      </c>
      <c r="E384" s="53" t="s">
        <v>25</v>
      </c>
      <c r="F384" s="54" t="s">
        <v>360</v>
      </c>
      <c r="G384" s="43">
        <v>15000</v>
      </c>
      <c r="H384" s="43">
        <v>15000</v>
      </c>
      <c r="I384" s="43">
        <v>430.5</v>
      </c>
      <c r="J384" s="43">
        <v>0</v>
      </c>
      <c r="K384" s="43">
        <v>456</v>
      </c>
      <c r="L384" s="43">
        <v>31.21</v>
      </c>
      <c r="M384" s="44">
        <f t="shared" si="23"/>
        <v>917.71</v>
      </c>
      <c r="N384" s="44">
        <f t="shared" si="24"/>
        <v>14082.29</v>
      </c>
      <c r="O384" s="52" t="s">
        <v>19</v>
      </c>
    </row>
    <row r="385" spans="1:15" s="39" customFormat="1" x14ac:dyDescent="0.25">
      <c r="A385" s="12"/>
      <c r="B385" s="52">
        <f t="shared" si="22"/>
        <v>380</v>
      </c>
      <c r="C385" s="53" t="s">
        <v>449</v>
      </c>
      <c r="D385" s="54" t="s">
        <v>356</v>
      </c>
      <c r="E385" s="53" t="s">
        <v>25</v>
      </c>
      <c r="F385" s="54" t="s">
        <v>360</v>
      </c>
      <c r="G385" s="43">
        <v>15000</v>
      </c>
      <c r="H385" s="43">
        <v>15000</v>
      </c>
      <c r="I385" s="43">
        <v>430.5</v>
      </c>
      <c r="J385" s="43">
        <v>0</v>
      </c>
      <c r="K385" s="43">
        <v>456</v>
      </c>
      <c r="L385" s="43">
        <v>31.21</v>
      </c>
      <c r="M385" s="44">
        <f t="shared" si="23"/>
        <v>917.71</v>
      </c>
      <c r="N385" s="44">
        <f t="shared" si="24"/>
        <v>14082.29</v>
      </c>
      <c r="O385" s="52" t="s">
        <v>19</v>
      </c>
    </row>
    <row r="386" spans="1:15" s="39" customFormat="1" x14ac:dyDescent="0.25">
      <c r="A386" s="12"/>
      <c r="B386" s="52">
        <f t="shared" si="22"/>
        <v>381</v>
      </c>
      <c r="C386" s="53" t="s">
        <v>450</v>
      </c>
      <c r="D386" s="54" t="s">
        <v>356</v>
      </c>
      <c r="E386" s="53" t="s">
        <v>25</v>
      </c>
      <c r="F386" s="54" t="s">
        <v>360</v>
      </c>
      <c r="G386" s="43">
        <v>10000</v>
      </c>
      <c r="H386" s="43">
        <v>10000</v>
      </c>
      <c r="I386" s="43">
        <v>287</v>
      </c>
      <c r="J386" s="43">
        <v>0</v>
      </c>
      <c r="K386" s="43">
        <v>304</v>
      </c>
      <c r="L386" s="43">
        <v>29.21</v>
      </c>
      <c r="M386" s="44">
        <f t="shared" si="23"/>
        <v>620.21</v>
      </c>
      <c r="N386" s="44">
        <f t="shared" si="24"/>
        <v>9379.7900000000009</v>
      </c>
      <c r="O386" s="52" t="s">
        <v>19</v>
      </c>
    </row>
    <row r="387" spans="1:15" s="39" customFormat="1" x14ac:dyDescent="0.25">
      <c r="A387" s="12"/>
      <c r="B387" s="52">
        <f t="shared" si="22"/>
        <v>382</v>
      </c>
      <c r="C387" s="53" t="s">
        <v>451</v>
      </c>
      <c r="D387" s="54" t="s">
        <v>356</v>
      </c>
      <c r="E387" s="53" t="s">
        <v>25</v>
      </c>
      <c r="F387" s="54" t="s">
        <v>360</v>
      </c>
      <c r="G387" s="43">
        <v>15000</v>
      </c>
      <c r="H387" s="43">
        <v>15000</v>
      </c>
      <c r="I387" s="43">
        <v>430.5</v>
      </c>
      <c r="J387" s="43">
        <v>0</v>
      </c>
      <c r="K387" s="43">
        <v>456</v>
      </c>
      <c r="L387" s="43">
        <v>29.21</v>
      </c>
      <c r="M387" s="44">
        <f t="shared" si="23"/>
        <v>915.71</v>
      </c>
      <c r="N387" s="44">
        <f t="shared" si="24"/>
        <v>14084.29</v>
      </c>
      <c r="O387" s="52" t="s">
        <v>19</v>
      </c>
    </row>
    <row r="388" spans="1:15" s="39" customFormat="1" x14ac:dyDescent="0.25">
      <c r="A388" s="12"/>
      <c r="B388" s="52">
        <f t="shared" si="22"/>
        <v>383</v>
      </c>
      <c r="C388" s="53" t="s">
        <v>452</v>
      </c>
      <c r="D388" s="54" t="s">
        <v>356</v>
      </c>
      <c r="E388" s="53" t="s">
        <v>25</v>
      </c>
      <c r="F388" s="54" t="s">
        <v>360</v>
      </c>
      <c r="G388" s="43">
        <v>15000</v>
      </c>
      <c r="H388" s="43">
        <v>15000</v>
      </c>
      <c r="I388" s="43">
        <v>430.5</v>
      </c>
      <c r="J388" s="43">
        <v>0</v>
      </c>
      <c r="K388" s="43">
        <v>456</v>
      </c>
      <c r="L388" s="43">
        <v>29.21</v>
      </c>
      <c r="M388" s="44">
        <f t="shared" si="23"/>
        <v>915.71</v>
      </c>
      <c r="N388" s="44">
        <f t="shared" si="24"/>
        <v>14084.29</v>
      </c>
      <c r="O388" s="52" t="s">
        <v>19</v>
      </c>
    </row>
    <row r="389" spans="1:15" s="39" customFormat="1" x14ac:dyDescent="0.25">
      <c r="A389" s="12"/>
      <c r="B389" s="52">
        <f t="shared" si="22"/>
        <v>384</v>
      </c>
      <c r="C389" s="53" t="s">
        <v>453</v>
      </c>
      <c r="D389" s="54" t="s">
        <v>356</v>
      </c>
      <c r="E389" s="53" t="s">
        <v>25</v>
      </c>
      <c r="F389" s="54" t="s">
        <v>360</v>
      </c>
      <c r="G389" s="43">
        <v>15000</v>
      </c>
      <c r="H389" s="43">
        <v>15000</v>
      </c>
      <c r="I389" s="43">
        <v>430.5</v>
      </c>
      <c r="J389" s="43">
        <v>0</v>
      </c>
      <c r="K389" s="43">
        <v>456</v>
      </c>
      <c r="L389" s="43">
        <f>4448.26+500</f>
        <v>4948.26</v>
      </c>
      <c r="M389" s="44">
        <f t="shared" si="23"/>
        <v>5834.76</v>
      </c>
      <c r="N389" s="44">
        <f t="shared" si="24"/>
        <v>9165.24</v>
      </c>
      <c r="O389" s="52" t="s">
        <v>19</v>
      </c>
    </row>
    <row r="390" spans="1:15" s="39" customFormat="1" x14ac:dyDescent="0.25">
      <c r="A390" s="12"/>
      <c r="B390" s="52">
        <f t="shared" si="22"/>
        <v>385</v>
      </c>
      <c r="C390" s="53" t="s">
        <v>454</v>
      </c>
      <c r="D390" s="54" t="s">
        <v>356</v>
      </c>
      <c r="E390" s="53" t="s">
        <v>25</v>
      </c>
      <c r="F390" s="54" t="s">
        <v>360</v>
      </c>
      <c r="G390" s="43">
        <v>15000</v>
      </c>
      <c r="H390" s="43">
        <v>15000</v>
      </c>
      <c r="I390" s="43">
        <v>430.5</v>
      </c>
      <c r="J390" s="43">
        <v>0</v>
      </c>
      <c r="K390" s="43">
        <v>456</v>
      </c>
      <c r="L390" s="43">
        <f>27.21+1000+2937.79</f>
        <v>3965</v>
      </c>
      <c r="M390" s="44">
        <f t="shared" si="23"/>
        <v>4851.5</v>
      </c>
      <c r="N390" s="44">
        <f t="shared" si="24"/>
        <v>10148.5</v>
      </c>
      <c r="O390" s="52" t="s">
        <v>19</v>
      </c>
    </row>
    <row r="391" spans="1:15" s="39" customFormat="1" x14ac:dyDescent="0.25">
      <c r="A391" s="12"/>
      <c r="B391" s="52">
        <f t="shared" si="22"/>
        <v>386</v>
      </c>
      <c r="C391" s="53" t="s">
        <v>455</v>
      </c>
      <c r="D391" s="54" t="s">
        <v>356</v>
      </c>
      <c r="E391" s="53" t="s">
        <v>25</v>
      </c>
      <c r="F391" s="54" t="s">
        <v>362</v>
      </c>
      <c r="G391" s="43">
        <v>15000</v>
      </c>
      <c r="H391" s="43">
        <v>15000</v>
      </c>
      <c r="I391" s="43">
        <v>430.5</v>
      </c>
      <c r="J391" s="43">
        <v>0</v>
      </c>
      <c r="K391" s="43">
        <v>456</v>
      </c>
      <c r="L391" s="43">
        <f>1836.71+1000</f>
        <v>2836.71</v>
      </c>
      <c r="M391" s="44">
        <f t="shared" si="23"/>
        <v>3723.21</v>
      </c>
      <c r="N391" s="44">
        <f t="shared" si="24"/>
        <v>11276.79</v>
      </c>
      <c r="O391" s="52" t="s">
        <v>19</v>
      </c>
    </row>
    <row r="392" spans="1:15" s="39" customFormat="1" x14ac:dyDescent="0.25">
      <c r="A392" s="12"/>
      <c r="B392" s="52">
        <f t="shared" si="22"/>
        <v>387</v>
      </c>
      <c r="C392" s="53" t="s">
        <v>456</v>
      </c>
      <c r="D392" s="54" t="s">
        <v>356</v>
      </c>
      <c r="E392" s="53" t="s">
        <v>25</v>
      </c>
      <c r="F392" s="54" t="s">
        <v>362</v>
      </c>
      <c r="G392" s="43">
        <v>10000</v>
      </c>
      <c r="H392" s="43">
        <v>10000</v>
      </c>
      <c r="I392" s="43">
        <v>287</v>
      </c>
      <c r="J392" s="43">
        <v>0</v>
      </c>
      <c r="K392" s="43">
        <v>304</v>
      </c>
      <c r="L392" s="43">
        <v>2079.2800000000002</v>
      </c>
      <c r="M392" s="44">
        <f t="shared" si="23"/>
        <v>2670.28</v>
      </c>
      <c r="N392" s="44">
        <f t="shared" si="24"/>
        <v>7329.7199999999993</v>
      </c>
      <c r="O392" s="52" t="s">
        <v>19</v>
      </c>
    </row>
    <row r="393" spans="1:15" s="39" customFormat="1" x14ac:dyDescent="0.25">
      <c r="A393" s="12"/>
      <c r="B393" s="52">
        <f t="shared" ref="B393:B456" si="25">+B392+1</f>
        <v>388</v>
      </c>
      <c r="C393" s="53" t="s">
        <v>457</v>
      </c>
      <c r="D393" s="54" t="s">
        <v>356</v>
      </c>
      <c r="E393" s="53" t="s">
        <v>25</v>
      </c>
      <c r="F393" s="54" t="s">
        <v>360</v>
      </c>
      <c r="G393" s="43">
        <v>10000</v>
      </c>
      <c r="H393" s="43">
        <v>10000</v>
      </c>
      <c r="I393" s="43">
        <v>287</v>
      </c>
      <c r="J393" s="43">
        <v>0</v>
      </c>
      <c r="K393" s="43">
        <v>304</v>
      </c>
      <c r="L393" s="43">
        <f>1039.64+31.21+300+1571.41</f>
        <v>2942.26</v>
      </c>
      <c r="M393" s="44">
        <f t="shared" si="23"/>
        <v>3533.26</v>
      </c>
      <c r="N393" s="44">
        <f t="shared" si="24"/>
        <v>6466.74</v>
      </c>
      <c r="O393" s="52" t="s">
        <v>19</v>
      </c>
    </row>
    <row r="394" spans="1:15" s="39" customFormat="1" x14ac:dyDescent="0.25">
      <c r="A394" s="12"/>
      <c r="B394" s="52">
        <f t="shared" si="25"/>
        <v>389</v>
      </c>
      <c r="C394" s="53" t="s">
        <v>458</v>
      </c>
      <c r="D394" s="54" t="s">
        <v>356</v>
      </c>
      <c r="E394" s="53" t="s">
        <v>25</v>
      </c>
      <c r="F394" s="54" t="s">
        <v>360</v>
      </c>
      <c r="G394" s="43">
        <v>15000</v>
      </c>
      <c r="H394" s="43">
        <v>15000</v>
      </c>
      <c r="I394" s="43">
        <v>430.5</v>
      </c>
      <c r="J394" s="43">
        <v>0</v>
      </c>
      <c r="K394" s="43">
        <v>456</v>
      </c>
      <c r="L394" s="43">
        <v>31.21</v>
      </c>
      <c r="M394" s="44">
        <f t="shared" si="23"/>
        <v>917.71</v>
      </c>
      <c r="N394" s="44">
        <f t="shared" si="24"/>
        <v>14082.29</v>
      </c>
      <c r="O394" s="52" t="s">
        <v>19</v>
      </c>
    </row>
    <row r="395" spans="1:15" s="39" customFormat="1" x14ac:dyDescent="0.25">
      <c r="A395" s="12"/>
      <c r="B395" s="52">
        <f t="shared" si="25"/>
        <v>390</v>
      </c>
      <c r="C395" s="53" t="s">
        <v>459</v>
      </c>
      <c r="D395" s="54" t="s">
        <v>356</v>
      </c>
      <c r="E395" s="53" t="s">
        <v>25</v>
      </c>
      <c r="F395" s="54" t="s">
        <v>362</v>
      </c>
      <c r="G395" s="43">
        <v>15000</v>
      </c>
      <c r="H395" s="43">
        <v>15000</v>
      </c>
      <c r="I395" s="43">
        <v>430.5</v>
      </c>
      <c r="J395" s="43">
        <v>0</v>
      </c>
      <c r="K395" s="43">
        <v>456</v>
      </c>
      <c r="L395" s="43">
        <v>31.21</v>
      </c>
      <c r="M395" s="44">
        <f t="shared" si="23"/>
        <v>917.71</v>
      </c>
      <c r="N395" s="44">
        <f t="shared" si="24"/>
        <v>14082.29</v>
      </c>
      <c r="O395" s="52" t="s">
        <v>19</v>
      </c>
    </row>
    <row r="396" spans="1:15" s="39" customFormat="1" x14ac:dyDescent="0.25">
      <c r="A396" s="12"/>
      <c r="B396" s="52">
        <f t="shared" si="25"/>
        <v>391</v>
      </c>
      <c r="C396" s="53" t="s">
        <v>460</v>
      </c>
      <c r="D396" s="54" t="s">
        <v>356</v>
      </c>
      <c r="E396" s="53" t="s">
        <v>25</v>
      </c>
      <c r="F396" s="54" t="s">
        <v>357</v>
      </c>
      <c r="G396" s="43">
        <v>15000</v>
      </c>
      <c r="H396" s="43">
        <v>15000</v>
      </c>
      <c r="I396" s="43">
        <v>430.5</v>
      </c>
      <c r="J396" s="43">
        <v>0</v>
      </c>
      <c r="K396" s="43">
        <v>456</v>
      </c>
      <c r="L396" s="43">
        <v>1746.67</v>
      </c>
      <c r="M396" s="44">
        <f t="shared" si="23"/>
        <v>2633.17</v>
      </c>
      <c r="N396" s="44">
        <f t="shared" si="24"/>
        <v>12366.83</v>
      </c>
      <c r="O396" s="52" t="s">
        <v>19</v>
      </c>
    </row>
    <row r="397" spans="1:15" s="39" customFormat="1" x14ac:dyDescent="0.25">
      <c r="A397" s="12"/>
      <c r="B397" s="52">
        <f t="shared" si="25"/>
        <v>392</v>
      </c>
      <c r="C397" s="53" t="s">
        <v>461</v>
      </c>
      <c r="D397" s="54" t="s">
        <v>356</v>
      </c>
      <c r="E397" s="53" t="s">
        <v>25</v>
      </c>
      <c r="F397" s="54" t="s">
        <v>360</v>
      </c>
      <c r="G397" s="43">
        <v>15000</v>
      </c>
      <c r="H397" s="43">
        <v>15000</v>
      </c>
      <c r="I397" s="43">
        <v>430.5</v>
      </c>
      <c r="J397" s="43">
        <v>0</v>
      </c>
      <c r="K397" s="43">
        <v>456</v>
      </c>
      <c r="L397" s="43">
        <f>1892.17-1360.96</f>
        <v>531.21</v>
      </c>
      <c r="M397" s="44">
        <f t="shared" si="23"/>
        <v>1417.71</v>
      </c>
      <c r="N397" s="44">
        <f t="shared" si="24"/>
        <v>13582.29</v>
      </c>
      <c r="O397" s="52" t="s">
        <v>19</v>
      </c>
    </row>
    <row r="398" spans="1:15" s="39" customFormat="1" x14ac:dyDescent="0.25">
      <c r="A398" s="12"/>
      <c r="B398" s="52">
        <f t="shared" si="25"/>
        <v>393</v>
      </c>
      <c r="C398" s="53" t="s">
        <v>462</v>
      </c>
      <c r="D398" s="54" t="s">
        <v>356</v>
      </c>
      <c r="E398" s="53" t="s">
        <v>25</v>
      </c>
      <c r="F398" s="54" t="s">
        <v>357</v>
      </c>
      <c r="G398" s="43">
        <v>15000</v>
      </c>
      <c r="H398" s="43">
        <v>15000</v>
      </c>
      <c r="I398" s="43">
        <v>430.5</v>
      </c>
      <c r="J398" s="43">
        <v>0</v>
      </c>
      <c r="K398" s="43">
        <v>456</v>
      </c>
      <c r="L398" s="43">
        <v>5804.74</v>
      </c>
      <c r="M398" s="44">
        <f t="shared" si="23"/>
        <v>6691.24</v>
      </c>
      <c r="N398" s="44">
        <f t="shared" si="24"/>
        <v>8308.76</v>
      </c>
      <c r="O398" s="52" t="s">
        <v>19</v>
      </c>
    </row>
    <row r="399" spans="1:15" s="39" customFormat="1" x14ac:dyDescent="0.25">
      <c r="A399" s="12"/>
      <c r="B399" s="52">
        <f t="shared" si="25"/>
        <v>394</v>
      </c>
      <c r="C399" s="53" t="s">
        <v>463</v>
      </c>
      <c r="D399" s="54" t="s">
        <v>356</v>
      </c>
      <c r="E399" s="53" t="s">
        <v>25</v>
      </c>
      <c r="F399" s="54" t="s">
        <v>360</v>
      </c>
      <c r="G399" s="43">
        <v>15000</v>
      </c>
      <c r="H399" s="43">
        <v>15000</v>
      </c>
      <c r="I399" s="43">
        <v>430.5</v>
      </c>
      <c r="J399" s="43">
        <v>0</v>
      </c>
      <c r="K399" s="43">
        <v>456</v>
      </c>
      <c r="L399" s="43">
        <v>31.21</v>
      </c>
      <c r="M399" s="44">
        <f t="shared" si="23"/>
        <v>917.71</v>
      </c>
      <c r="N399" s="44">
        <f t="shared" si="24"/>
        <v>14082.29</v>
      </c>
      <c r="O399" s="52" t="s">
        <v>19</v>
      </c>
    </row>
    <row r="400" spans="1:15" s="39" customFormat="1" x14ac:dyDescent="0.25">
      <c r="A400" s="12"/>
      <c r="B400" s="52">
        <f t="shared" si="25"/>
        <v>395</v>
      </c>
      <c r="C400" s="53" t="s">
        <v>464</v>
      </c>
      <c r="D400" s="54" t="s">
        <v>356</v>
      </c>
      <c r="E400" s="53" t="s">
        <v>25</v>
      </c>
      <c r="F400" s="54" t="s">
        <v>357</v>
      </c>
      <c r="G400" s="43">
        <v>13200</v>
      </c>
      <c r="H400" s="43">
        <v>13200</v>
      </c>
      <c r="I400" s="43">
        <v>378.84</v>
      </c>
      <c r="J400" s="43">
        <v>0</v>
      </c>
      <c r="K400" s="43">
        <v>401.28</v>
      </c>
      <c r="L400" s="43">
        <v>31.21</v>
      </c>
      <c r="M400" s="44">
        <f t="shared" si="23"/>
        <v>811.32999999999993</v>
      </c>
      <c r="N400" s="44">
        <f t="shared" si="24"/>
        <v>12388.67</v>
      </c>
      <c r="O400" s="52" t="s">
        <v>19</v>
      </c>
    </row>
    <row r="401" spans="1:15" s="39" customFormat="1" x14ac:dyDescent="0.25">
      <c r="A401" s="12"/>
      <c r="B401" s="52">
        <f t="shared" si="25"/>
        <v>396</v>
      </c>
      <c r="C401" s="53" t="s">
        <v>465</v>
      </c>
      <c r="D401" s="54" t="s">
        <v>356</v>
      </c>
      <c r="E401" s="53" t="s">
        <v>25</v>
      </c>
      <c r="F401" s="54" t="s">
        <v>360</v>
      </c>
      <c r="G401" s="43">
        <v>10000</v>
      </c>
      <c r="H401" s="43">
        <v>10000</v>
      </c>
      <c r="I401" s="43">
        <v>287</v>
      </c>
      <c r="J401" s="43">
        <v>0</v>
      </c>
      <c r="K401" s="43">
        <v>304</v>
      </c>
      <c r="L401" s="43">
        <v>27.21</v>
      </c>
      <c r="M401" s="44">
        <f t="shared" si="23"/>
        <v>618.21</v>
      </c>
      <c r="N401" s="44">
        <f t="shared" si="24"/>
        <v>9381.7900000000009</v>
      </c>
      <c r="O401" s="52" t="s">
        <v>19</v>
      </c>
    </row>
    <row r="402" spans="1:15" s="39" customFormat="1" x14ac:dyDescent="0.25">
      <c r="A402" s="12"/>
      <c r="B402" s="52">
        <f t="shared" si="25"/>
        <v>397</v>
      </c>
      <c r="C402" s="53" t="s">
        <v>466</v>
      </c>
      <c r="D402" s="54" t="s">
        <v>356</v>
      </c>
      <c r="E402" s="53" t="s">
        <v>25</v>
      </c>
      <c r="F402" s="54" t="s">
        <v>360</v>
      </c>
      <c r="G402" s="43">
        <v>13000</v>
      </c>
      <c r="H402" s="43">
        <v>13000</v>
      </c>
      <c r="I402" s="43">
        <v>373.1</v>
      </c>
      <c r="J402" s="43">
        <v>0</v>
      </c>
      <c r="K402" s="43">
        <v>395.2</v>
      </c>
      <c r="L402" s="43">
        <v>31.21</v>
      </c>
      <c r="M402" s="44">
        <f t="shared" si="23"/>
        <v>799.51</v>
      </c>
      <c r="N402" s="44">
        <f t="shared" si="24"/>
        <v>12200.49</v>
      </c>
      <c r="O402" s="52" t="s">
        <v>19</v>
      </c>
    </row>
    <row r="403" spans="1:15" s="39" customFormat="1" x14ac:dyDescent="0.25">
      <c r="A403" s="12"/>
      <c r="B403" s="52">
        <f t="shared" si="25"/>
        <v>398</v>
      </c>
      <c r="C403" s="53" t="s">
        <v>467</v>
      </c>
      <c r="D403" s="54" t="s">
        <v>356</v>
      </c>
      <c r="E403" s="53" t="s">
        <v>21</v>
      </c>
      <c r="F403" s="54" t="s">
        <v>375</v>
      </c>
      <c r="G403" s="43">
        <v>25900.35</v>
      </c>
      <c r="H403" s="43">
        <v>25900.35</v>
      </c>
      <c r="I403" s="43">
        <v>743.34</v>
      </c>
      <c r="J403" s="43">
        <v>0</v>
      </c>
      <c r="K403" s="43">
        <v>787.37</v>
      </c>
      <c r="L403" s="43">
        <f>6861.84+31.21</f>
        <v>6893.05</v>
      </c>
      <c r="M403" s="44">
        <f>+L403+K403+I403</f>
        <v>8423.76</v>
      </c>
      <c r="N403" s="44">
        <f>+G403-M403</f>
        <v>17476.589999999997</v>
      </c>
      <c r="O403" s="52" t="s">
        <v>23</v>
      </c>
    </row>
    <row r="404" spans="1:15" s="39" customFormat="1" x14ac:dyDescent="0.25">
      <c r="A404" s="12"/>
      <c r="B404" s="52">
        <f t="shared" si="25"/>
        <v>399</v>
      </c>
      <c r="C404" s="53" t="s">
        <v>468</v>
      </c>
      <c r="D404" s="54" t="s">
        <v>356</v>
      </c>
      <c r="E404" s="53" t="s">
        <v>21</v>
      </c>
      <c r="F404" s="54" t="s">
        <v>375</v>
      </c>
      <c r="G404" s="43">
        <v>45000</v>
      </c>
      <c r="H404" s="43">
        <v>45000</v>
      </c>
      <c r="I404" s="43">
        <v>1291.5</v>
      </c>
      <c r="J404" s="43">
        <v>633.69000000000005</v>
      </c>
      <c r="K404" s="43">
        <v>1368</v>
      </c>
      <c r="L404" s="43">
        <v>3462.13</v>
      </c>
      <c r="M404" s="44">
        <f t="shared" si="23"/>
        <v>6755.32</v>
      </c>
      <c r="N404" s="44">
        <f t="shared" si="24"/>
        <v>38244.68</v>
      </c>
      <c r="O404" s="52" t="s">
        <v>19</v>
      </c>
    </row>
    <row r="405" spans="1:15" s="39" customFormat="1" x14ac:dyDescent="0.25">
      <c r="A405" s="12"/>
      <c r="B405" s="52">
        <f t="shared" si="25"/>
        <v>400</v>
      </c>
      <c r="C405" s="53" t="s">
        <v>469</v>
      </c>
      <c r="D405" s="54" t="s">
        <v>356</v>
      </c>
      <c r="E405" s="53" t="s">
        <v>21</v>
      </c>
      <c r="F405" s="54" t="s">
        <v>375</v>
      </c>
      <c r="G405" s="43">
        <v>55000</v>
      </c>
      <c r="H405" s="43">
        <v>55000</v>
      </c>
      <c r="I405" s="43">
        <v>1578.5</v>
      </c>
      <c r="J405" s="43">
        <v>2559.6799999999998</v>
      </c>
      <c r="K405" s="43">
        <v>1672</v>
      </c>
      <c r="L405" s="43">
        <f>5771.57+31.21</f>
        <v>5802.78</v>
      </c>
      <c r="M405" s="44">
        <f>+L405+K405+J405+I405</f>
        <v>11612.96</v>
      </c>
      <c r="N405" s="44">
        <f>+G405-M405</f>
        <v>43387.040000000001</v>
      </c>
      <c r="O405" s="52" t="s">
        <v>19</v>
      </c>
    </row>
    <row r="406" spans="1:15" s="39" customFormat="1" x14ac:dyDescent="0.25">
      <c r="A406" s="12"/>
      <c r="B406" s="52">
        <f t="shared" si="25"/>
        <v>401</v>
      </c>
      <c r="C406" s="53" t="s">
        <v>470</v>
      </c>
      <c r="D406" s="54" t="s">
        <v>356</v>
      </c>
      <c r="E406" s="53" t="s">
        <v>25</v>
      </c>
      <c r="F406" s="54" t="s">
        <v>471</v>
      </c>
      <c r="G406" s="43">
        <v>15000</v>
      </c>
      <c r="H406" s="43">
        <v>15000</v>
      </c>
      <c r="I406" s="43">
        <v>430.5</v>
      </c>
      <c r="J406" s="43">
        <v>0</v>
      </c>
      <c r="K406" s="43">
        <v>456</v>
      </c>
      <c r="L406" s="43">
        <v>27.21</v>
      </c>
      <c r="M406" s="44">
        <f t="shared" si="23"/>
        <v>913.71</v>
      </c>
      <c r="N406" s="44">
        <f t="shared" si="24"/>
        <v>14086.29</v>
      </c>
      <c r="O406" s="52" t="s">
        <v>19</v>
      </c>
    </row>
    <row r="407" spans="1:15" s="39" customFormat="1" x14ac:dyDescent="0.25">
      <c r="A407" s="12"/>
      <c r="B407" s="52">
        <f t="shared" si="25"/>
        <v>402</v>
      </c>
      <c r="C407" s="53" t="s">
        <v>472</v>
      </c>
      <c r="D407" s="54" t="s">
        <v>356</v>
      </c>
      <c r="E407" s="53" t="s">
        <v>25</v>
      </c>
      <c r="F407" s="54" t="s">
        <v>360</v>
      </c>
      <c r="G407" s="43">
        <v>13000</v>
      </c>
      <c r="H407" s="43">
        <v>13000</v>
      </c>
      <c r="I407" s="43">
        <v>373.1</v>
      </c>
      <c r="J407" s="43">
        <v>0</v>
      </c>
      <c r="K407" s="43">
        <v>395.2</v>
      </c>
      <c r="L407" s="43">
        <v>31.21</v>
      </c>
      <c r="M407" s="44">
        <f t="shared" si="23"/>
        <v>799.51</v>
      </c>
      <c r="N407" s="44">
        <f t="shared" si="24"/>
        <v>12200.49</v>
      </c>
      <c r="O407" s="52" t="s">
        <v>19</v>
      </c>
    </row>
    <row r="408" spans="1:15" s="39" customFormat="1" x14ac:dyDescent="0.25">
      <c r="A408" s="12"/>
      <c r="B408" s="52">
        <f t="shared" si="25"/>
        <v>403</v>
      </c>
      <c r="C408" s="53" t="s">
        <v>473</v>
      </c>
      <c r="D408" s="54" t="s">
        <v>356</v>
      </c>
      <c r="E408" s="53" t="s">
        <v>25</v>
      </c>
      <c r="F408" s="54" t="s">
        <v>360</v>
      </c>
      <c r="G408" s="43">
        <v>15000</v>
      </c>
      <c r="H408" s="43">
        <v>15000</v>
      </c>
      <c r="I408" s="43">
        <v>430.5</v>
      </c>
      <c r="J408" s="43">
        <v>0</v>
      </c>
      <c r="K408" s="43">
        <v>456</v>
      </c>
      <c r="L408" s="43">
        <f>31.21+500+1885.69+2637.48</f>
        <v>5054.38</v>
      </c>
      <c r="M408" s="44">
        <f t="shared" si="23"/>
        <v>5940.88</v>
      </c>
      <c r="N408" s="44">
        <f t="shared" si="24"/>
        <v>9059.119999999999</v>
      </c>
      <c r="O408" s="52" t="s">
        <v>19</v>
      </c>
    </row>
    <row r="409" spans="1:15" s="39" customFormat="1" x14ac:dyDescent="0.25">
      <c r="A409" s="12"/>
      <c r="B409" s="52">
        <f t="shared" si="25"/>
        <v>404</v>
      </c>
      <c r="C409" s="53" t="s">
        <v>474</v>
      </c>
      <c r="D409" s="54" t="s">
        <v>356</v>
      </c>
      <c r="E409" s="53" t="s">
        <v>25</v>
      </c>
      <c r="F409" s="54" t="s">
        <v>360</v>
      </c>
      <c r="G409" s="43">
        <v>10000</v>
      </c>
      <c r="H409" s="43">
        <v>10000</v>
      </c>
      <c r="I409" s="43">
        <v>287</v>
      </c>
      <c r="J409" s="43">
        <v>0</v>
      </c>
      <c r="K409" s="43">
        <v>304</v>
      </c>
      <c r="L409" s="43">
        <f>4958.72+31.21</f>
        <v>4989.93</v>
      </c>
      <c r="M409" s="44">
        <f t="shared" si="23"/>
        <v>5580.93</v>
      </c>
      <c r="N409" s="44">
        <f t="shared" si="24"/>
        <v>4419.07</v>
      </c>
      <c r="O409" s="52" t="s">
        <v>19</v>
      </c>
    </row>
    <row r="410" spans="1:15" s="39" customFormat="1" x14ac:dyDescent="0.25">
      <c r="A410" s="12"/>
      <c r="B410" s="52">
        <f t="shared" si="25"/>
        <v>405</v>
      </c>
      <c r="C410" s="53" t="s">
        <v>475</v>
      </c>
      <c r="D410" s="54" t="s">
        <v>356</v>
      </c>
      <c r="E410" s="53" t="s">
        <v>25</v>
      </c>
      <c r="F410" s="54" t="s">
        <v>360</v>
      </c>
      <c r="G410" s="43">
        <v>10000</v>
      </c>
      <c r="H410" s="43">
        <v>10000</v>
      </c>
      <c r="I410" s="43">
        <v>287</v>
      </c>
      <c r="J410" s="43">
        <v>0</v>
      </c>
      <c r="K410" s="43">
        <v>304</v>
      </c>
      <c r="L410" s="43">
        <v>31.21</v>
      </c>
      <c r="M410" s="44">
        <f t="shared" si="23"/>
        <v>622.21</v>
      </c>
      <c r="N410" s="44">
        <f t="shared" si="24"/>
        <v>9377.7900000000009</v>
      </c>
      <c r="O410" s="52" t="s">
        <v>19</v>
      </c>
    </row>
    <row r="411" spans="1:15" s="39" customFormat="1" x14ac:dyDescent="0.25">
      <c r="A411" s="12"/>
      <c r="B411" s="52">
        <f t="shared" si="25"/>
        <v>406</v>
      </c>
      <c r="C411" s="53" t="s">
        <v>476</v>
      </c>
      <c r="D411" s="54" t="s">
        <v>356</v>
      </c>
      <c r="E411" s="53" t="s">
        <v>25</v>
      </c>
      <c r="F411" s="54" t="s">
        <v>357</v>
      </c>
      <c r="G411" s="43">
        <v>15000</v>
      </c>
      <c r="H411" s="43">
        <v>15000</v>
      </c>
      <c r="I411" s="43">
        <v>430.5</v>
      </c>
      <c r="J411" s="43">
        <v>0</v>
      </c>
      <c r="K411" s="43">
        <v>456</v>
      </c>
      <c r="L411" s="43">
        <v>31.21</v>
      </c>
      <c r="M411" s="44">
        <f t="shared" si="23"/>
        <v>917.71</v>
      </c>
      <c r="N411" s="44">
        <f t="shared" si="24"/>
        <v>14082.29</v>
      </c>
      <c r="O411" s="52" t="s">
        <v>19</v>
      </c>
    </row>
    <row r="412" spans="1:15" s="39" customFormat="1" x14ac:dyDescent="0.25">
      <c r="A412" s="12"/>
      <c r="B412" s="52">
        <f t="shared" si="25"/>
        <v>407</v>
      </c>
      <c r="C412" s="53" t="s">
        <v>477</v>
      </c>
      <c r="D412" s="54" t="s">
        <v>356</v>
      </c>
      <c r="E412" s="53" t="s">
        <v>25</v>
      </c>
      <c r="F412" s="54" t="s">
        <v>357</v>
      </c>
      <c r="G412" s="43">
        <v>10000</v>
      </c>
      <c r="H412" s="43">
        <v>10000</v>
      </c>
      <c r="I412" s="43">
        <v>287</v>
      </c>
      <c r="J412" s="43">
        <v>0</v>
      </c>
      <c r="K412" s="43">
        <v>304</v>
      </c>
      <c r="L412" s="43">
        <v>31.21</v>
      </c>
      <c r="M412" s="44">
        <f t="shared" si="23"/>
        <v>622.21</v>
      </c>
      <c r="N412" s="44">
        <f t="shared" si="24"/>
        <v>9377.7900000000009</v>
      </c>
      <c r="O412" s="52" t="s">
        <v>19</v>
      </c>
    </row>
    <row r="413" spans="1:15" s="39" customFormat="1" x14ac:dyDescent="0.25">
      <c r="A413" s="12"/>
      <c r="B413" s="52">
        <f t="shared" si="25"/>
        <v>408</v>
      </c>
      <c r="C413" s="53" t="s">
        <v>478</v>
      </c>
      <c r="D413" s="54" t="s">
        <v>356</v>
      </c>
      <c r="E413" s="53" t="s">
        <v>25</v>
      </c>
      <c r="F413" s="54" t="s">
        <v>360</v>
      </c>
      <c r="G413" s="43">
        <v>10000</v>
      </c>
      <c r="H413" s="43">
        <v>10000</v>
      </c>
      <c r="I413" s="43">
        <v>287</v>
      </c>
      <c r="J413" s="43">
        <v>0</v>
      </c>
      <c r="K413" s="43">
        <v>304</v>
      </c>
      <c r="L413" s="43">
        <v>1746.67</v>
      </c>
      <c r="M413" s="44">
        <f t="shared" si="23"/>
        <v>2337.67</v>
      </c>
      <c r="N413" s="44">
        <f t="shared" si="24"/>
        <v>7662.33</v>
      </c>
      <c r="O413" s="52" t="s">
        <v>19</v>
      </c>
    </row>
    <row r="414" spans="1:15" s="39" customFormat="1" ht="22.5" x14ac:dyDescent="0.25">
      <c r="A414" s="12"/>
      <c r="B414" s="52">
        <f t="shared" si="25"/>
        <v>409</v>
      </c>
      <c r="C414" s="53" t="s">
        <v>479</v>
      </c>
      <c r="D414" s="54" t="s">
        <v>356</v>
      </c>
      <c r="E414" s="53" t="s">
        <v>25</v>
      </c>
      <c r="F414" s="54" t="s">
        <v>373</v>
      </c>
      <c r="G414" s="43">
        <v>12100</v>
      </c>
      <c r="H414" s="43">
        <v>12100</v>
      </c>
      <c r="I414" s="43">
        <v>347.27</v>
      </c>
      <c r="J414" s="43">
        <v>0</v>
      </c>
      <c r="K414" s="43">
        <v>367.84</v>
      </c>
      <c r="L414" s="43">
        <v>31.21</v>
      </c>
      <c r="M414" s="44">
        <f t="shared" si="23"/>
        <v>746.31999999999994</v>
      </c>
      <c r="N414" s="44">
        <f t="shared" si="24"/>
        <v>11353.68</v>
      </c>
      <c r="O414" s="52" t="s">
        <v>19</v>
      </c>
    </row>
    <row r="415" spans="1:15" s="39" customFormat="1" x14ac:dyDescent="0.25">
      <c r="A415" s="12"/>
      <c r="B415" s="52">
        <f t="shared" si="25"/>
        <v>410</v>
      </c>
      <c r="C415" s="53" t="s">
        <v>480</v>
      </c>
      <c r="D415" s="54" t="s">
        <v>356</v>
      </c>
      <c r="E415" s="53" t="s">
        <v>25</v>
      </c>
      <c r="F415" s="54" t="s">
        <v>360</v>
      </c>
      <c r="G415" s="43">
        <v>15000</v>
      </c>
      <c r="H415" s="43">
        <v>15000</v>
      </c>
      <c r="I415" s="43">
        <v>430.5</v>
      </c>
      <c r="J415" s="43">
        <v>0</v>
      </c>
      <c r="K415" s="43">
        <v>456</v>
      </c>
      <c r="L415" s="43">
        <f>415.86+31.21</f>
        <v>447.07</v>
      </c>
      <c r="M415" s="44">
        <f t="shared" si="23"/>
        <v>1333.57</v>
      </c>
      <c r="N415" s="44">
        <f t="shared" si="24"/>
        <v>13666.43</v>
      </c>
      <c r="O415" s="52" t="s">
        <v>19</v>
      </c>
    </row>
    <row r="416" spans="1:15" s="39" customFormat="1" x14ac:dyDescent="0.25">
      <c r="A416" s="12"/>
      <c r="B416" s="52">
        <f t="shared" si="25"/>
        <v>411</v>
      </c>
      <c r="C416" s="53" t="s">
        <v>481</v>
      </c>
      <c r="D416" s="54" t="s">
        <v>356</v>
      </c>
      <c r="E416" s="53" t="s">
        <v>25</v>
      </c>
      <c r="F416" s="54" t="s">
        <v>362</v>
      </c>
      <c r="G416" s="43">
        <v>20000</v>
      </c>
      <c r="H416" s="43">
        <v>20000</v>
      </c>
      <c r="I416" s="43">
        <v>574</v>
      </c>
      <c r="J416" s="43">
        <v>0</v>
      </c>
      <c r="K416" s="43">
        <v>608</v>
      </c>
      <c r="L416" s="43">
        <f>31.21+1500</f>
        <v>1531.21</v>
      </c>
      <c r="M416" s="44">
        <f t="shared" si="23"/>
        <v>2713.21</v>
      </c>
      <c r="N416" s="44">
        <f t="shared" si="24"/>
        <v>17286.79</v>
      </c>
      <c r="O416" s="52" t="s">
        <v>19</v>
      </c>
    </row>
    <row r="417" spans="1:15" s="39" customFormat="1" x14ac:dyDescent="0.25">
      <c r="A417" s="12"/>
      <c r="B417" s="52">
        <f t="shared" si="25"/>
        <v>412</v>
      </c>
      <c r="C417" s="53" t="s">
        <v>482</v>
      </c>
      <c r="D417" s="54" t="s">
        <v>356</v>
      </c>
      <c r="E417" s="53" t="s">
        <v>25</v>
      </c>
      <c r="F417" s="54" t="s">
        <v>360</v>
      </c>
      <c r="G417" s="43">
        <v>15000</v>
      </c>
      <c r="H417" s="43">
        <v>15000</v>
      </c>
      <c r="I417" s="43">
        <v>430.5</v>
      </c>
      <c r="J417" s="43">
        <v>0</v>
      </c>
      <c r="K417" s="43">
        <v>456</v>
      </c>
      <c r="L417" s="43">
        <v>31.21</v>
      </c>
      <c r="M417" s="44">
        <f t="shared" si="23"/>
        <v>917.71</v>
      </c>
      <c r="N417" s="44">
        <f t="shared" si="24"/>
        <v>14082.29</v>
      </c>
      <c r="O417" s="52" t="s">
        <v>19</v>
      </c>
    </row>
    <row r="418" spans="1:15" s="39" customFormat="1" x14ac:dyDescent="0.25">
      <c r="A418" s="12"/>
      <c r="B418" s="52">
        <f t="shared" si="25"/>
        <v>413</v>
      </c>
      <c r="C418" s="53" t="s">
        <v>483</v>
      </c>
      <c r="D418" s="54" t="s">
        <v>356</v>
      </c>
      <c r="E418" s="53" t="s">
        <v>25</v>
      </c>
      <c r="F418" s="54" t="s">
        <v>360</v>
      </c>
      <c r="G418" s="43">
        <v>10000</v>
      </c>
      <c r="H418" s="43">
        <v>10000</v>
      </c>
      <c r="I418" s="43">
        <v>287</v>
      </c>
      <c r="J418" s="43">
        <v>0</v>
      </c>
      <c r="K418" s="43">
        <v>304</v>
      </c>
      <c r="L418" s="43">
        <f>1039.64+31.21</f>
        <v>1070.8500000000001</v>
      </c>
      <c r="M418" s="44">
        <f t="shared" si="23"/>
        <v>1661.8500000000001</v>
      </c>
      <c r="N418" s="44">
        <f t="shared" si="24"/>
        <v>8338.15</v>
      </c>
      <c r="O418" s="52" t="s">
        <v>19</v>
      </c>
    </row>
    <row r="419" spans="1:15" s="39" customFormat="1" x14ac:dyDescent="0.25">
      <c r="A419" s="12"/>
      <c r="B419" s="52">
        <f t="shared" si="25"/>
        <v>414</v>
      </c>
      <c r="C419" s="53" t="s">
        <v>484</v>
      </c>
      <c r="D419" s="54" t="s">
        <v>356</v>
      </c>
      <c r="E419" s="53" t="s">
        <v>25</v>
      </c>
      <c r="F419" s="54" t="s">
        <v>360</v>
      </c>
      <c r="G419" s="43">
        <v>11000</v>
      </c>
      <c r="H419" s="43">
        <v>11000</v>
      </c>
      <c r="I419" s="43">
        <v>315.7</v>
      </c>
      <c r="J419" s="43">
        <v>0</v>
      </c>
      <c r="K419" s="43">
        <v>334.4</v>
      </c>
      <c r="L419" s="43">
        <v>31.21</v>
      </c>
      <c r="M419" s="44">
        <f t="shared" si="23"/>
        <v>681.31</v>
      </c>
      <c r="N419" s="44">
        <f t="shared" si="24"/>
        <v>10318.69</v>
      </c>
      <c r="O419" s="52" t="s">
        <v>19</v>
      </c>
    </row>
    <row r="420" spans="1:15" s="39" customFormat="1" x14ac:dyDescent="0.25">
      <c r="A420" s="12"/>
      <c r="B420" s="52">
        <f t="shared" si="25"/>
        <v>415</v>
      </c>
      <c r="C420" s="53" t="s">
        <v>485</v>
      </c>
      <c r="D420" s="54" t="s">
        <v>356</v>
      </c>
      <c r="E420" s="53" t="s">
        <v>25</v>
      </c>
      <c r="F420" s="54" t="s">
        <v>360</v>
      </c>
      <c r="G420" s="43">
        <v>11000</v>
      </c>
      <c r="H420" s="43">
        <v>11000</v>
      </c>
      <c r="I420" s="43">
        <v>315.7</v>
      </c>
      <c r="J420" s="43">
        <v>0</v>
      </c>
      <c r="K420" s="43">
        <v>334.4</v>
      </c>
      <c r="L420" s="43">
        <v>29.21</v>
      </c>
      <c r="M420" s="44">
        <f t="shared" si="23"/>
        <v>679.31</v>
      </c>
      <c r="N420" s="44">
        <f t="shared" si="24"/>
        <v>10320.69</v>
      </c>
      <c r="O420" s="52" t="s">
        <v>19</v>
      </c>
    </row>
    <row r="421" spans="1:15" s="39" customFormat="1" x14ac:dyDescent="0.25">
      <c r="A421" s="12"/>
      <c r="B421" s="52">
        <f t="shared" si="25"/>
        <v>416</v>
      </c>
      <c r="C421" s="53" t="s">
        <v>486</v>
      </c>
      <c r="D421" s="54" t="s">
        <v>356</v>
      </c>
      <c r="E421" s="53" t="s">
        <v>25</v>
      </c>
      <c r="F421" s="54" t="s">
        <v>375</v>
      </c>
      <c r="G421" s="43">
        <v>65000</v>
      </c>
      <c r="H421" s="43">
        <v>65000</v>
      </c>
      <c r="I421" s="43">
        <v>1865.5</v>
      </c>
      <c r="J421" s="43">
        <v>4427.58</v>
      </c>
      <c r="K421" s="43">
        <v>1976</v>
      </c>
      <c r="L421" s="43">
        <v>27.21</v>
      </c>
      <c r="M421" s="44">
        <f t="shared" si="23"/>
        <v>8296.2899999999991</v>
      </c>
      <c r="N421" s="44">
        <f t="shared" si="24"/>
        <v>56703.71</v>
      </c>
      <c r="O421" s="52" t="s">
        <v>19</v>
      </c>
    </row>
    <row r="422" spans="1:15" s="39" customFormat="1" x14ac:dyDescent="0.25">
      <c r="A422" s="12"/>
      <c r="B422" s="52">
        <f t="shared" si="25"/>
        <v>417</v>
      </c>
      <c r="C422" s="53" t="s">
        <v>487</v>
      </c>
      <c r="D422" s="54" t="s">
        <v>356</v>
      </c>
      <c r="E422" s="53" t="s">
        <v>25</v>
      </c>
      <c r="F422" s="54" t="s">
        <v>360</v>
      </c>
      <c r="G422" s="43">
        <v>15000</v>
      </c>
      <c r="H422" s="43">
        <v>15000</v>
      </c>
      <c r="I422" s="43">
        <v>430.5</v>
      </c>
      <c r="J422" s="43">
        <v>0</v>
      </c>
      <c r="K422" s="43">
        <v>456</v>
      </c>
      <c r="L422" s="43">
        <v>31.21</v>
      </c>
      <c r="M422" s="44">
        <f t="shared" si="23"/>
        <v>917.71</v>
      </c>
      <c r="N422" s="44">
        <f t="shared" si="24"/>
        <v>14082.29</v>
      </c>
      <c r="O422" s="52" t="s">
        <v>19</v>
      </c>
    </row>
    <row r="423" spans="1:15" s="39" customFormat="1" ht="22.5" x14ac:dyDescent="0.25">
      <c r="A423" s="12"/>
      <c r="B423" s="52">
        <f t="shared" si="25"/>
        <v>418</v>
      </c>
      <c r="C423" s="53" t="s">
        <v>488</v>
      </c>
      <c r="D423" s="54" t="s">
        <v>356</v>
      </c>
      <c r="E423" s="53" t="s">
        <v>25</v>
      </c>
      <c r="F423" s="54" t="s">
        <v>489</v>
      </c>
      <c r="G423" s="43">
        <v>55000</v>
      </c>
      <c r="H423" s="43">
        <v>55000</v>
      </c>
      <c r="I423" s="43">
        <v>1578.5</v>
      </c>
      <c r="J423" s="43">
        <v>2559.6799999999998</v>
      </c>
      <c r="K423" s="43">
        <v>1672</v>
      </c>
      <c r="L423" s="43">
        <f>2131.21+12902.63</f>
        <v>15033.84</v>
      </c>
      <c r="M423" s="44">
        <f t="shared" si="23"/>
        <v>20844.02</v>
      </c>
      <c r="N423" s="44">
        <f t="shared" si="24"/>
        <v>34155.979999999996</v>
      </c>
      <c r="O423" s="52" t="s">
        <v>19</v>
      </c>
    </row>
    <row r="424" spans="1:15" s="39" customFormat="1" x14ac:dyDescent="0.25">
      <c r="A424" s="12"/>
      <c r="B424" s="52">
        <f t="shared" si="25"/>
        <v>419</v>
      </c>
      <c r="C424" s="53" t="s">
        <v>490</v>
      </c>
      <c r="D424" s="54" t="s">
        <v>356</v>
      </c>
      <c r="E424" s="53" t="s">
        <v>25</v>
      </c>
      <c r="F424" s="54" t="s">
        <v>357</v>
      </c>
      <c r="G424" s="43">
        <v>10000</v>
      </c>
      <c r="H424" s="43">
        <v>10000</v>
      </c>
      <c r="I424" s="43">
        <v>287</v>
      </c>
      <c r="J424" s="43">
        <v>0</v>
      </c>
      <c r="K424" s="43">
        <v>304</v>
      </c>
      <c r="L424" s="43">
        <v>27.21</v>
      </c>
      <c r="M424" s="44">
        <f t="shared" si="23"/>
        <v>618.21</v>
      </c>
      <c r="N424" s="44">
        <f t="shared" si="24"/>
        <v>9381.7900000000009</v>
      </c>
      <c r="O424" s="52" t="s">
        <v>19</v>
      </c>
    </row>
    <row r="425" spans="1:15" s="39" customFormat="1" x14ac:dyDescent="0.25">
      <c r="A425" s="12"/>
      <c r="B425" s="52">
        <f t="shared" si="25"/>
        <v>420</v>
      </c>
      <c r="C425" s="53" t="s">
        <v>491</v>
      </c>
      <c r="D425" s="54" t="s">
        <v>356</v>
      </c>
      <c r="E425" s="53" t="s">
        <v>25</v>
      </c>
      <c r="F425" s="54" t="s">
        <v>357</v>
      </c>
      <c r="G425" s="43">
        <v>15000</v>
      </c>
      <c r="H425" s="43">
        <v>15000</v>
      </c>
      <c r="I425" s="43">
        <v>430.5</v>
      </c>
      <c r="J425" s="43">
        <v>0</v>
      </c>
      <c r="K425" s="43">
        <v>456</v>
      </c>
      <c r="L425" s="43">
        <v>29.21</v>
      </c>
      <c r="M425" s="44">
        <f t="shared" si="23"/>
        <v>915.71</v>
      </c>
      <c r="N425" s="44">
        <f t="shared" si="24"/>
        <v>14084.29</v>
      </c>
      <c r="O425" s="52" t="s">
        <v>19</v>
      </c>
    </row>
    <row r="426" spans="1:15" s="39" customFormat="1" x14ac:dyDescent="0.25">
      <c r="A426" s="12"/>
      <c r="B426" s="52">
        <f t="shared" si="25"/>
        <v>421</v>
      </c>
      <c r="C426" s="53" t="s">
        <v>492</v>
      </c>
      <c r="D426" s="54" t="s">
        <v>356</v>
      </c>
      <c r="E426" s="53" t="s">
        <v>25</v>
      </c>
      <c r="F426" s="54" t="s">
        <v>360</v>
      </c>
      <c r="G426" s="43">
        <v>15000</v>
      </c>
      <c r="H426" s="43">
        <v>15000</v>
      </c>
      <c r="I426" s="43">
        <v>430.5</v>
      </c>
      <c r="J426" s="43">
        <v>0</v>
      </c>
      <c r="K426" s="43">
        <v>456</v>
      </c>
      <c r="L426" s="43">
        <v>1746.67</v>
      </c>
      <c r="M426" s="44">
        <f t="shared" si="23"/>
        <v>2633.17</v>
      </c>
      <c r="N426" s="44">
        <f t="shared" si="24"/>
        <v>12366.83</v>
      </c>
      <c r="O426" s="52" t="s">
        <v>19</v>
      </c>
    </row>
    <row r="427" spans="1:15" s="39" customFormat="1" x14ac:dyDescent="0.25">
      <c r="A427" s="12"/>
      <c r="B427" s="52">
        <f t="shared" si="25"/>
        <v>422</v>
      </c>
      <c r="C427" s="53" t="s">
        <v>493</v>
      </c>
      <c r="D427" s="54" t="s">
        <v>356</v>
      </c>
      <c r="E427" s="53" t="s">
        <v>25</v>
      </c>
      <c r="F427" s="54" t="s">
        <v>357</v>
      </c>
      <c r="G427" s="43">
        <v>15000</v>
      </c>
      <c r="H427" s="43">
        <v>15000</v>
      </c>
      <c r="I427" s="43">
        <v>430.5</v>
      </c>
      <c r="J427" s="43">
        <v>0</v>
      </c>
      <c r="K427" s="43">
        <v>456</v>
      </c>
      <c r="L427" s="43">
        <f>31.21+1000</f>
        <v>1031.21</v>
      </c>
      <c r="M427" s="44">
        <f t="shared" si="23"/>
        <v>1917.71</v>
      </c>
      <c r="N427" s="44">
        <f t="shared" si="24"/>
        <v>13082.29</v>
      </c>
      <c r="O427" s="52" t="s">
        <v>19</v>
      </c>
    </row>
    <row r="428" spans="1:15" s="39" customFormat="1" x14ac:dyDescent="0.25">
      <c r="A428" s="12"/>
      <c r="B428" s="52">
        <f t="shared" si="25"/>
        <v>423</v>
      </c>
      <c r="C428" s="53" t="s">
        <v>494</v>
      </c>
      <c r="D428" s="54" t="s">
        <v>356</v>
      </c>
      <c r="E428" s="53" t="s">
        <v>25</v>
      </c>
      <c r="F428" s="54" t="s">
        <v>360</v>
      </c>
      <c r="G428" s="43">
        <v>10000</v>
      </c>
      <c r="H428" s="43">
        <v>10000</v>
      </c>
      <c r="I428" s="43">
        <v>287</v>
      </c>
      <c r="J428" s="43">
        <v>0</v>
      </c>
      <c r="K428" s="43">
        <v>304</v>
      </c>
      <c r="L428" s="43">
        <v>0</v>
      </c>
      <c r="M428" s="44">
        <v>591</v>
      </c>
      <c r="N428" s="44">
        <f t="shared" si="24"/>
        <v>9409</v>
      </c>
      <c r="O428" s="52" t="s">
        <v>19</v>
      </c>
    </row>
    <row r="429" spans="1:15" s="39" customFormat="1" x14ac:dyDescent="0.25">
      <c r="A429" s="37"/>
      <c r="B429" s="52">
        <f t="shared" si="25"/>
        <v>424</v>
      </c>
      <c r="C429" s="53" t="s">
        <v>495</v>
      </c>
      <c r="D429" s="54" t="s">
        <v>356</v>
      </c>
      <c r="E429" s="53" t="s">
        <v>25</v>
      </c>
      <c r="F429" s="54" t="s">
        <v>357</v>
      </c>
      <c r="G429" s="43">
        <v>15000</v>
      </c>
      <c r="H429" s="43">
        <v>15000</v>
      </c>
      <c r="I429" s="43">
        <v>430.5</v>
      </c>
      <c r="J429" s="43">
        <v>0</v>
      </c>
      <c r="K429" s="43">
        <v>456</v>
      </c>
      <c r="L429" s="43">
        <v>5275.48</v>
      </c>
      <c r="M429" s="44">
        <f t="shared" si="23"/>
        <v>6161.98</v>
      </c>
      <c r="N429" s="44">
        <f t="shared" si="24"/>
        <v>8838.02</v>
      </c>
      <c r="O429" s="52" t="s">
        <v>19</v>
      </c>
    </row>
    <row r="430" spans="1:15" s="39" customFormat="1" x14ac:dyDescent="0.25">
      <c r="A430" s="12"/>
      <c r="B430" s="52">
        <f t="shared" si="25"/>
        <v>425</v>
      </c>
      <c r="C430" s="53" t="s">
        <v>496</v>
      </c>
      <c r="D430" s="54" t="s">
        <v>356</v>
      </c>
      <c r="E430" s="53" t="s">
        <v>25</v>
      </c>
      <c r="F430" s="54" t="s">
        <v>357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f>31.21+500+1257.12+2637.48</f>
        <v>4425.8099999999995</v>
      </c>
      <c r="M430" s="44">
        <f t="shared" si="23"/>
        <v>5312.3099999999995</v>
      </c>
      <c r="N430" s="44">
        <f t="shared" si="24"/>
        <v>9687.69</v>
      </c>
      <c r="O430" s="52" t="s">
        <v>19</v>
      </c>
    </row>
    <row r="431" spans="1:15" s="39" customFormat="1" x14ac:dyDescent="0.25">
      <c r="A431" s="12"/>
      <c r="B431" s="52">
        <f t="shared" si="25"/>
        <v>426</v>
      </c>
      <c r="C431" s="53" t="s">
        <v>497</v>
      </c>
      <c r="D431" s="54" t="s">
        <v>356</v>
      </c>
      <c r="E431" s="53" t="s">
        <v>25</v>
      </c>
      <c r="F431" s="54" t="s">
        <v>360</v>
      </c>
      <c r="G431" s="43">
        <v>15000</v>
      </c>
      <c r="H431" s="43">
        <v>15000</v>
      </c>
      <c r="I431" s="43">
        <v>430.5</v>
      </c>
      <c r="J431" s="43">
        <v>0</v>
      </c>
      <c r="K431" s="43">
        <v>456</v>
      </c>
      <c r="L431" s="43">
        <v>27.21</v>
      </c>
      <c r="M431" s="44">
        <f t="shared" si="23"/>
        <v>913.71</v>
      </c>
      <c r="N431" s="44">
        <f t="shared" si="24"/>
        <v>14086.29</v>
      </c>
      <c r="O431" s="52" t="s">
        <v>19</v>
      </c>
    </row>
    <row r="432" spans="1:15" s="39" customFormat="1" x14ac:dyDescent="0.25">
      <c r="A432" s="12"/>
      <c r="B432" s="52">
        <f t="shared" si="25"/>
        <v>427</v>
      </c>
      <c r="C432" s="53" t="s">
        <v>498</v>
      </c>
      <c r="D432" s="54" t="s">
        <v>356</v>
      </c>
      <c r="E432" s="53" t="s">
        <v>25</v>
      </c>
      <c r="F432" s="54" t="s">
        <v>360</v>
      </c>
      <c r="G432" s="43">
        <v>15000</v>
      </c>
      <c r="H432" s="43">
        <v>15000</v>
      </c>
      <c r="I432" s="43">
        <v>430.5</v>
      </c>
      <c r="J432" s="43">
        <v>0</v>
      </c>
      <c r="K432" s="43">
        <v>456</v>
      </c>
      <c r="L432" s="43">
        <v>2602.62</v>
      </c>
      <c r="M432" s="44">
        <f t="shared" si="23"/>
        <v>3489.12</v>
      </c>
      <c r="N432" s="44">
        <f t="shared" si="24"/>
        <v>11510.880000000001</v>
      </c>
      <c r="O432" s="52" t="s">
        <v>19</v>
      </c>
    </row>
    <row r="433" spans="1:15" s="39" customFormat="1" x14ac:dyDescent="0.25">
      <c r="A433" s="12"/>
      <c r="B433" s="52">
        <f t="shared" si="25"/>
        <v>428</v>
      </c>
      <c r="C433" s="53" t="s">
        <v>499</v>
      </c>
      <c r="D433" s="54" t="s">
        <v>356</v>
      </c>
      <c r="E433" s="53" t="s">
        <v>25</v>
      </c>
      <c r="F433" s="54" t="s">
        <v>357</v>
      </c>
      <c r="G433" s="43">
        <v>15000</v>
      </c>
      <c r="H433" s="43">
        <v>15000</v>
      </c>
      <c r="I433" s="43">
        <v>430.5</v>
      </c>
      <c r="J433" s="43">
        <v>0</v>
      </c>
      <c r="K433" s="43">
        <v>456</v>
      </c>
      <c r="L433" s="43">
        <v>31.21</v>
      </c>
      <c r="M433" s="44">
        <f t="shared" si="23"/>
        <v>917.71</v>
      </c>
      <c r="N433" s="44">
        <f t="shared" si="24"/>
        <v>14082.29</v>
      </c>
      <c r="O433" s="52" t="s">
        <v>19</v>
      </c>
    </row>
    <row r="434" spans="1:15" s="39" customFormat="1" x14ac:dyDescent="0.25">
      <c r="A434" s="12"/>
      <c r="B434" s="52">
        <f t="shared" si="25"/>
        <v>429</v>
      </c>
      <c r="C434" s="53" t="s">
        <v>500</v>
      </c>
      <c r="D434" s="54" t="s">
        <v>356</v>
      </c>
      <c r="E434" s="53" t="s">
        <v>25</v>
      </c>
      <c r="F434" s="54" t="s">
        <v>357</v>
      </c>
      <c r="G434" s="43">
        <v>10000</v>
      </c>
      <c r="H434" s="43">
        <v>10000</v>
      </c>
      <c r="I434" s="43">
        <v>287</v>
      </c>
      <c r="J434" s="43">
        <v>0</v>
      </c>
      <c r="K434" s="43">
        <v>304</v>
      </c>
      <c r="L434" s="43">
        <f>2079.28+27.21</f>
        <v>2106.4900000000002</v>
      </c>
      <c r="M434" s="44">
        <f t="shared" ref="M434:M492" si="26">SUM(I434:L434)</f>
        <v>2697.4900000000002</v>
      </c>
      <c r="N434" s="44">
        <f t="shared" si="24"/>
        <v>7302.51</v>
      </c>
      <c r="O434" s="52" t="s">
        <v>19</v>
      </c>
    </row>
    <row r="435" spans="1:15" s="39" customFormat="1" x14ac:dyDescent="0.25">
      <c r="A435" s="12"/>
      <c r="B435" s="52">
        <f t="shared" si="25"/>
        <v>430</v>
      </c>
      <c r="C435" s="53" t="s">
        <v>501</v>
      </c>
      <c r="D435" s="54" t="s">
        <v>356</v>
      </c>
      <c r="E435" s="53" t="s">
        <v>25</v>
      </c>
      <c r="F435" s="54" t="s">
        <v>357</v>
      </c>
      <c r="G435" s="43">
        <v>15000</v>
      </c>
      <c r="H435" s="43">
        <v>15000</v>
      </c>
      <c r="I435" s="43">
        <v>430.5</v>
      </c>
      <c r="J435" s="43">
        <v>0</v>
      </c>
      <c r="K435" s="43">
        <v>456</v>
      </c>
      <c r="L435" s="43">
        <v>31.21</v>
      </c>
      <c r="M435" s="44">
        <f t="shared" si="26"/>
        <v>917.71</v>
      </c>
      <c r="N435" s="44">
        <f t="shared" si="24"/>
        <v>14082.29</v>
      </c>
      <c r="O435" s="52" t="s">
        <v>19</v>
      </c>
    </row>
    <row r="436" spans="1:15" s="39" customFormat="1" x14ac:dyDescent="0.25">
      <c r="A436" s="12"/>
      <c r="B436" s="52">
        <f t="shared" si="25"/>
        <v>431</v>
      </c>
      <c r="C436" s="53" t="s">
        <v>502</v>
      </c>
      <c r="D436" s="54" t="s">
        <v>356</v>
      </c>
      <c r="E436" s="53" t="s">
        <v>25</v>
      </c>
      <c r="F436" s="54" t="s">
        <v>360</v>
      </c>
      <c r="G436" s="43">
        <v>15000</v>
      </c>
      <c r="H436" s="43">
        <v>15000</v>
      </c>
      <c r="I436" s="43">
        <v>430.5</v>
      </c>
      <c r="J436" s="43">
        <v>0</v>
      </c>
      <c r="K436" s="43">
        <v>456</v>
      </c>
      <c r="L436" s="43">
        <v>31.21</v>
      </c>
      <c r="M436" s="44">
        <f t="shared" si="26"/>
        <v>917.71</v>
      </c>
      <c r="N436" s="44">
        <f t="shared" si="24"/>
        <v>14082.29</v>
      </c>
      <c r="O436" s="52" t="s">
        <v>19</v>
      </c>
    </row>
    <row r="437" spans="1:15" s="39" customFormat="1" x14ac:dyDescent="0.25">
      <c r="A437" s="12"/>
      <c r="B437" s="52">
        <f t="shared" si="25"/>
        <v>432</v>
      </c>
      <c r="C437" s="53" t="s">
        <v>503</v>
      </c>
      <c r="D437" s="54" t="s">
        <v>356</v>
      </c>
      <c r="E437" s="53" t="s">
        <v>25</v>
      </c>
      <c r="F437" s="54" t="s">
        <v>360</v>
      </c>
      <c r="G437" s="43">
        <v>10000</v>
      </c>
      <c r="H437" s="43">
        <v>10000</v>
      </c>
      <c r="I437" s="43">
        <v>287</v>
      </c>
      <c r="J437" s="43">
        <v>0</v>
      </c>
      <c r="K437" s="43">
        <v>304</v>
      </c>
      <c r="L437" s="43">
        <f>1039.64+31.21</f>
        <v>1070.8500000000001</v>
      </c>
      <c r="M437" s="44">
        <f t="shared" si="26"/>
        <v>1661.8500000000001</v>
      </c>
      <c r="N437" s="44">
        <f t="shared" si="24"/>
        <v>8338.15</v>
      </c>
      <c r="O437" s="52" t="s">
        <v>19</v>
      </c>
    </row>
    <row r="438" spans="1:15" s="39" customFormat="1" x14ac:dyDescent="0.25">
      <c r="A438" s="12"/>
      <c r="B438" s="52">
        <f t="shared" si="25"/>
        <v>433</v>
      </c>
      <c r="C438" s="53" t="s">
        <v>504</v>
      </c>
      <c r="D438" s="54" t="s">
        <v>356</v>
      </c>
      <c r="E438" s="53" t="s">
        <v>25</v>
      </c>
      <c r="F438" s="54" t="s">
        <v>360</v>
      </c>
      <c r="G438" s="43">
        <v>11000</v>
      </c>
      <c r="H438" s="43">
        <v>11000</v>
      </c>
      <c r="I438" s="43">
        <v>315.7</v>
      </c>
      <c r="J438" s="43">
        <v>0</v>
      </c>
      <c r="K438" s="43">
        <v>334.4</v>
      </c>
      <c r="L438" s="43">
        <v>27.21</v>
      </c>
      <c r="M438" s="44">
        <f t="shared" si="26"/>
        <v>677.31</v>
      </c>
      <c r="N438" s="44">
        <f t="shared" si="24"/>
        <v>10322.69</v>
      </c>
      <c r="O438" s="52" t="s">
        <v>19</v>
      </c>
    </row>
    <row r="439" spans="1:15" s="39" customFormat="1" x14ac:dyDescent="0.25">
      <c r="A439" s="12"/>
      <c r="B439" s="52">
        <f t="shared" si="25"/>
        <v>434</v>
      </c>
      <c r="C439" s="53" t="s">
        <v>505</v>
      </c>
      <c r="D439" s="54" t="s">
        <v>356</v>
      </c>
      <c r="E439" s="53" t="s">
        <v>25</v>
      </c>
      <c r="F439" s="54" t="s">
        <v>360</v>
      </c>
      <c r="G439" s="43">
        <v>15000</v>
      </c>
      <c r="H439" s="43">
        <v>15000</v>
      </c>
      <c r="I439" s="43">
        <v>430.5</v>
      </c>
      <c r="J439" s="43">
        <v>0</v>
      </c>
      <c r="K439" s="43">
        <v>456</v>
      </c>
      <c r="L439" s="43">
        <f>31.21+2000+2637.48</f>
        <v>4668.6900000000005</v>
      </c>
      <c r="M439" s="44">
        <f t="shared" si="26"/>
        <v>5555.1900000000005</v>
      </c>
      <c r="N439" s="44">
        <f t="shared" si="24"/>
        <v>9444.81</v>
      </c>
      <c r="O439" s="52" t="s">
        <v>19</v>
      </c>
    </row>
    <row r="440" spans="1:15" s="39" customFormat="1" x14ac:dyDescent="0.25">
      <c r="A440" s="12"/>
      <c r="B440" s="52">
        <f t="shared" si="25"/>
        <v>435</v>
      </c>
      <c r="C440" s="53" t="s">
        <v>506</v>
      </c>
      <c r="D440" s="54" t="s">
        <v>356</v>
      </c>
      <c r="E440" s="53" t="s">
        <v>25</v>
      </c>
      <c r="F440" s="54" t="s">
        <v>360</v>
      </c>
      <c r="G440" s="43">
        <v>15000</v>
      </c>
      <c r="H440" s="43">
        <v>15000</v>
      </c>
      <c r="I440" s="43">
        <v>430.5</v>
      </c>
      <c r="J440" s="43">
        <v>0</v>
      </c>
      <c r="K440" s="43">
        <v>456</v>
      </c>
      <c r="L440" s="43">
        <v>31.21</v>
      </c>
      <c r="M440" s="44">
        <f t="shared" si="26"/>
        <v>917.71</v>
      </c>
      <c r="N440" s="44">
        <f t="shared" ref="N440:N503" si="27">G440-M440</f>
        <v>14082.29</v>
      </c>
      <c r="O440" s="52" t="s">
        <v>19</v>
      </c>
    </row>
    <row r="441" spans="1:15" s="39" customFormat="1" x14ac:dyDescent="0.25">
      <c r="A441" s="37"/>
      <c r="B441" s="52">
        <f t="shared" si="25"/>
        <v>436</v>
      </c>
      <c r="C441" s="53" t="s">
        <v>507</v>
      </c>
      <c r="D441" s="54" t="s">
        <v>356</v>
      </c>
      <c r="E441" s="53" t="s">
        <v>25</v>
      </c>
      <c r="F441" s="54" t="s">
        <v>360</v>
      </c>
      <c r="G441" s="43">
        <v>15000</v>
      </c>
      <c r="H441" s="43">
        <v>15000</v>
      </c>
      <c r="I441" s="43">
        <v>430.5</v>
      </c>
      <c r="J441" s="43">
        <v>0</v>
      </c>
      <c r="K441" s="43">
        <v>456</v>
      </c>
      <c r="L441" s="43">
        <v>31.21</v>
      </c>
      <c r="M441" s="44">
        <f t="shared" si="26"/>
        <v>917.71</v>
      </c>
      <c r="N441" s="44">
        <f t="shared" si="27"/>
        <v>14082.29</v>
      </c>
      <c r="O441" s="52" t="s">
        <v>19</v>
      </c>
    </row>
    <row r="442" spans="1:15" s="39" customFormat="1" x14ac:dyDescent="0.25">
      <c r="A442" s="12"/>
      <c r="B442" s="52">
        <f t="shared" si="25"/>
        <v>437</v>
      </c>
      <c r="C442" s="53" t="s">
        <v>619</v>
      </c>
      <c r="D442" s="54" t="s">
        <v>356</v>
      </c>
      <c r="E442" s="53" t="s">
        <v>25</v>
      </c>
      <c r="F442" s="54" t="s">
        <v>360</v>
      </c>
      <c r="G442" s="43">
        <v>15000</v>
      </c>
      <c r="H442" s="43">
        <v>15000</v>
      </c>
      <c r="I442" s="43">
        <v>430.5</v>
      </c>
      <c r="J442" s="43">
        <v>0</v>
      </c>
      <c r="K442" s="43">
        <v>456</v>
      </c>
      <c r="L442" s="43">
        <f>31.21+1000</f>
        <v>1031.21</v>
      </c>
      <c r="M442" s="44">
        <f t="shared" si="26"/>
        <v>1917.71</v>
      </c>
      <c r="N442" s="44">
        <f t="shared" si="27"/>
        <v>13082.29</v>
      </c>
      <c r="O442" s="52" t="s">
        <v>19</v>
      </c>
    </row>
    <row r="443" spans="1:15" s="39" customFormat="1" x14ac:dyDescent="0.25">
      <c r="A443" s="12"/>
      <c r="B443" s="52">
        <f t="shared" si="25"/>
        <v>438</v>
      </c>
      <c r="C443" s="53" t="s">
        <v>618</v>
      </c>
      <c r="D443" s="54" t="s">
        <v>356</v>
      </c>
      <c r="E443" s="53" t="s">
        <v>25</v>
      </c>
      <c r="F443" s="54" t="s">
        <v>360</v>
      </c>
      <c r="G443" s="43">
        <v>15000</v>
      </c>
      <c r="H443" s="43">
        <v>15000</v>
      </c>
      <c r="I443" s="43">
        <v>430.5</v>
      </c>
      <c r="J443" s="43">
        <v>0</v>
      </c>
      <c r="K443" s="43">
        <v>456</v>
      </c>
      <c r="L443" s="43">
        <v>2031.21</v>
      </c>
      <c r="M443" s="44">
        <f t="shared" si="26"/>
        <v>2917.71</v>
      </c>
      <c r="N443" s="44">
        <f t="shared" si="27"/>
        <v>12082.29</v>
      </c>
      <c r="O443" s="52" t="s">
        <v>19</v>
      </c>
    </row>
    <row r="444" spans="1:15" s="39" customFormat="1" x14ac:dyDescent="0.25">
      <c r="A444" s="12"/>
      <c r="B444" s="52">
        <f t="shared" si="25"/>
        <v>439</v>
      </c>
      <c r="C444" s="53" t="s">
        <v>508</v>
      </c>
      <c r="D444" s="54" t="s">
        <v>356</v>
      </c>
      <c r="E444" s="53" t="s">
        <v>25</v>
      </c>
      <c r="F444" s="54" t="s">
        <v>360</v>
      </c>
      <c r="G444" s="43">
        <v>15000</v>
      </c>
      <c r="H444" s="43">
        <v>15000</v>
      </c>
      <c r="I444" s="43">
        <v>430.5</v>
      </c>
      <c r="J444" s="43">
        <v>0</v>
      </c>
      <c r="K444" s="43">
        <v>456</v>
      </c>
      <c r="L444" s="43">
        <v>31.21</v>
      </c>
      <c r="M444" s="44">
        <f t="shared" si="26"/>
        <v>917.71</v>
      </c>
      <c r="N444" s="44">
        <f t="shared" si="27"/>
        <v>14082.29</v>
      </c>
      <c r="O444" s="52" t="s">
        <v>19</v>
      </c>
    </row>
    <row r="445" spans="1:15" s="39" customFormat="1" x14ac:dyDescent="0.25">
      <c r="A445" s="12"/>
      <c r="B445" s="52">
        <f t="shared" si="25"/>
        <v>440</v>
      </c>
      <c r="C445" s="53" t="s">
        <v>509</v>
      </c>
      <c r="D445" s="54" t="s">
        <v>356</v>
      </c>
      <c r="E445" s="53" t="s">
        <v>25</v>
      </c>
      <c r="F445" s="54" t="s">
        <v>360</v>
      </c>
      <c r="G445" s="43">
        <v>13000</v>
      </c>
      <c r="H445" s="43">
        <v>13000</v>
      </c>
      <c r="I445" s="43">
        <v>373.1</v>
      </c>
      <c r="J445" s="43">
        <v>0</v>
      </c>
      <c r="K445" s="43">
        <v>395.2</v>
      </c>
      <c r="L445" s="43">
        <v>31.21</v>
      </c>
      <c r="M445" s="44">
        <f t="shared" si="26"/>
        <v>799.51</v>
      </c>
      <c r="N445" s="44">
        <f t="shared" si="27"/>
        <v>12200.49</v>
      </c>
      <c r="O445" s="52" t="s">
        <v>19</v>
      </c>
    </row>
    <row r="446" spans="1:15" s="39" customFormat="1" x14ac:dyDescent="0.25">
      <c r="A446" s="12"/>
      <c r="B446" s="52">
        <f t="shared" si="25"/>
        <v>441</v>
      </c>
      <c r="C446" s="53" t="s">
        <v>510</v>
      </c>
      <c r="D446" s="54" t="s">
        <v>356</v>
      </c>
      <c r="E446" s="53" t="s">
        <v>25</v>
      </c>
      <c r="F446" s="54" t="s">
        <v>357</v>
      </c>
      <c r="G446" s="43">
        <v>15000</v>
      </c>
      <c r="H446" s="43">
        <v>15000</v>
      </c>
      <c r="I446" s="43">
        <v>430.5</v>
      </c>
      <c r="J446" s="43">
        <v>0</v>
      </c>
      <c r="K446" s="43">
        <v>456</v>
      </c>
      <c r="L446" s="43">
        <v>5311.74</v>
      </c>
      <c r="M446" s="44">
        <f t="shared" si="26"/>
        <v>6198.24</v>
      </c>
      <c r="N446" s="44">
        <f t="shared" si="27"/>
        <v>8801.76</v>
      </c>
      <c r="O446" s="52" t="s">
        <v>19</v>
      </c>
    </row>
    <row r="447" spans="1:15" s="39" customFormat="1" x14ac:dyDescent="0.25">
      <c r="A447" s="12"/>
      <c r="B447" s="52">
        <f t="shared" si="25"/>
        <v>442</v>
      </c>
      <c r="C447" s="53" t="s">
        <v>511</v>
      </c>
      <c r="D447" s="54" t="s">
        <v>356</v>
      </c>
      <c r="E447" s="53" t="s">
        <v>25</v>
      </c>
      <c r="F447" s="54" t="s">
        <v>360</v>
      </c>
      <c r="G447" s="43">
        <v>15000</v>
      </c>
      <c r="H447" s="43">
        <v>15000</v>
      </c>
      <c r="I447" s="43">
        <v>430.5</v>
      </c>
      <c r="J447" s="43">
        <v>0</v>
      </c>
      <c r="K447" s="43">
        <v>456</v>
      </c>
      <c r="L447" s="43">
        <f>31.21+1000</f>
        <v>1031.21</v>
      </c>
      <c r="M447" s="44">
        <f t="shared" si="26"/>
        <v>1917.71</v>
      </c>
      <c r="N447" s="44">
        <f t="shared" si="27"/>
        <v>13082.29</v>
      </c>
      <c r="O447" s="52" t="s">
        <v>19</v>
      </c>
    </row>
    <row r="448" spans="1:15" s="39" customFormat="1" x14ac:dyDescent="0.25">
      <c r="A448" s="12"/>
      <c r="B448" s="52">
        <f t="shared" si="25"/>
        <v>443</v>
      </c>
      <c r="C448" s="53" t="s">
        <v>512</v>
      </c>
      <c r="D448" s="54" t="s">
        <v>356</v>
      </c>
      <c r="E448" s="53" t="s">
        <v>25</v>
      </c>
      <c r="F448" s="54" t="s">
        <v>360</v>
      </c>
      <c r="G448" s="43">
        <v>10000</v>
      </c>
      <c r="H448" s="43">
        <v>10000</v>
      </c>
      <c r="I448" s="43">
        <v>287</v>
      </c>
      <c r="J448" s="43">
        <v>0</v>
      </c>
      <c r="K448" s="43">
        <v>304</v>
      </c>
      <c r="L448" s="43">
        <v>29.21</v>
      </c>
      <c r="M448" s="44">
        <f t="shared" si="26"/>
        <v>620.21</v>
      </c>
      <c r="N448" s="44">
        <f t="shared" si="27"/>
        <v>9379.7900000000009</v>
      </c>
      <c r="O448" s="52" t="s">
        <v>19</v>
      </c>
    </row>
    <row r="449" spans="1:15" s="39" customFormat="1" x14ac:dyDescent="0.25">
      <c r="A449" s="12"/>
      <c r="B449" s="52">
        <f t="shared" si="25"/>
        <v>444</v>
      </c>
      <c r="C449" s="53" t="s">
        <v>513</v>
      </c>
      <c r="D449" s="54" t="s">
        <v>356</v>
      </c>
      <c r="E449" s="53" t="s">
        <v>25</v>
      </c>
      <c r="F449" s="54" t="s">
        <v>360</v>
      </c>
      <c r="G449" s="43">
        <v>10000</v>
      </c>
      <c r="H449" s="43">
        <v>10000</v>
      </c>
      <c r="I449" s="43">
        <v>287</v>
      </c>
      <c r="J449" s="43">
        <v>0</v>
      </c>
      <c r="K449" s="43">
        <v>304</v>
      </c>
      <c r="L449" s="43">
        <v>31.21</v>
      </c>
      <c r="M449" s="44">
        <f t="shared" si="26"/>
        <v>622.21</v>
      </c>
      <c r="N449" s="44">
        <f t="shared" si="27"/>
        <v>9377.7900000000009</v>
      </c>
      <c r="O449" s="52" t="s">
        <v>23</v>
      </c>
    </row>
    <row r="450" spans="1:15" s="39" customFormat="1" x14ac:dyDescent="0.25">
      <c r="A450" s="12"/>
      <c r="B450" s="52">
        <f t="shared" si="25"/>
        <v>445</v>
      </c>
      <c r="C450" s="53" t="s">
        <v>514</v>
      </c>
      <c r="D450" s="54" t="s">
        <v>356</v>
      </c>
      <c r="E450" s="53" t="s">
        <v>25</v>
      </c>
      <c r="F450" s="54" t="s">
        <v>360</v>
      </c>
      <c r="G450" s="43">
        <v>10000</v>
      </c>
      <c r="H450" s="43">
        <v>10000</v>
      </c>
      <c r="I450" s="43">
        <v>287</v>
      </c>
      <c r="J450" s="43">
        <v>0</v>
      </c>
      <c r="K450" s="43">
        <v>304</v>
      </c>
      <c r="L450" s="43">
        <v>961.21</v>
      </c>
      <c r="M450" s="44">
        <f t="shared" si="26"/>
        <v>1552.21</v>
      </c>
      <c r="N450" s="44">
        <f t="shared" si="27"/>
        <v>8447.7900000000009</v>
      </c>
      <c r="O450" s="52" t="s">
        <v>19</v>
      </c>
    </row>
    <row r="451" spans="1:15" s="39" customFormat="1" x14ac:dyDescent="0.25">
      <c r="A451" s="12"/>
      <c r="B451" s="52">
        <f t="shared" si="25"/>
        <v>446</v>
      </c>
      <c r="C451" s="53" t="s">
        <v>515</v>
      </c>
      <c r="D451" s="54" t="s">
        <v>356</v>
      </c>
      <c r="E451" s="53" t="s">
        <v>25</v>
      </c>
      <c r="F451" s="54" t="s">
        <v>357</v>
      </c>
      <c r="G451" s="43">
        <v>11000</v>
      </c>
      <c r="H451" s="43">
        <v>11000</v>
      </c>
      <c r="I451" s="43">
        <v>315.7</v>
      </c>
      <c r="J451" s="43">
        <v>0</v>
      </c>
      <c r="K451" s="43">
        <v>334.4</v>
      </c>
      <c r="L451" s="43">
        <v>31.21</v>
      </c>
      <c r="M451" s="44">
        <f t="shared" si="26"/>
        <v>681.31</v>
      </c>
      <c r="N451" s="44">
        <f t="shared" si="27"/>
        <v>10318.69</v>
      </c>
      <c r="O451" s="52" t="s">
        <v>19</v>
      </c>
    </row>
    <row r="452" spans="1:15" s="39" customFormat="1" x14ac:dyDescent="0.25">
      <c r="A452" s="12"/>
      <c r="B452" s="52">
        <f t="shared" si="25"/>
        <v>447</v>
      </c>
      <c r="C452" s="53" t="s">
        <v>516</v>
      </c>
      <c r="D452" s="54" t="s">
        <v>356</v>
      </c>
      <c r="E452" s="53" t="s">
        <v>25</v>
      </c>
      <c r="F452" s="54" t="s">
        <v>357</v>
      </c>
      <c r="G452" s="43">
        <v>15000</v>
      </c>
      <c r="H452" s="43">
        <v>15000</v>
      </c>
      <c r="I452" s="43">
        <v>430.5</v>
      </c>
      <c r="J452" s="43">
        <v>0</v>
      </c>
      <c r="K452" s="43">
        <v>456</v>
      </c>
      <c r="L452" s="43">
        <v>31.21</v>
      </c>
      <c r="M452" s="44">
        <f t="shared" si="26"/>
        <v>917.71</v>
      </c>
      <c r="N452" s="44">
        <f t="shared" si="27"/>
        <v>14082.29</v>
      </c>
      <c r="O452" s="52" t="s">
        <v>23</v>
      </c>
    </row>
    <row r="453" spans="1:15" s="39" customFormat="1" x14ac:dyDescent="0.25">
      <c r="A453" s="12"/>
      <c r="B453" s="52">
        <f t="shared" si="25"/>
        <v>448</v>
      </c>
      <c r="C453" s="53" t="s">
        <v>517</v>
      </c>
      <c r="D453" s="54" t="s">
        <v>356</v>
      </c>
      <c r="E453" s="53" t="s">
        <v>25</v>
      </c>
      <c r="F453" s="54" t="s">
        <v>357</v>
      </c>
      <c r="G453" s="43">
        <v>11000</v>
      </c>
      <c r="H453" s="43">
        <v>11000</v>
      </c>
      <c r="I453" s="43">
        <v>315.7</v>
      </c>
      <c r="J453" s="43">
        <v>0</v>
      </c>
      <c r="K453" s="43">
        <v>334.4</v>
      </c>
      <c r="L453" s="43">
        <v>31.21</v>
      </c>
      <c r="M453" s="44">
        <f t="shared" si="26"/>
        <v>681.31</v>
      </c>
      <c r="N453" s="44">
        <f t="shared" si="27"/>
        <v>10318.69</v>
      </c>
      <c r="O453" s="52" t="s">
        <v>19</v>
      </c>
    </row>
    <row r="454" spans="1:15" s="39" customFormat="1" x14ac:dyDescent="0.25">
      <c r="A454" s="12"/>
      <c r="B454" s="52">
        <f t="shared" si="25"/>
        <v>449</v>
      </c>
      <c r="C454" s="53" t="s">
        <v>518</v>
      </c>
      <c r="D454" s="54" t="s">
        <v>356</v>
      </c>
      <c r="E454" s="53" t="s">
        <v>25</v>
      </c>
      <c r="F454" s="54" t="s">
        <v>357</v>
      </c>
      <c r="G454" s="43">
        <v>10000</v>
      </c>
      <c r="H454" s="43">
        <v>10000</v>
      </c>
      <c r="I454" s="43">
        <v>287</v>
      </c>
      <c r="J454" s="43">
        <v>0</v>
      </c>
      <c r="K454" s="43">
        <v>304</v>
      </c>
      <c r="L454" s="43">
        <v>31.21</v>
      </c>
      <c r="M454" s="44">
        <f t="shared" si="26"/>
        <v>622.21</v>
      </c>
      <c r="N454" s="44">
        <f t="shared" si="27"/>
        <v>9377.7900000000009</v>
      </c>
      <c r="O454" s="52" t="s">
        <v>23</v>
      </c>
    </row>
    <row r="455" spans="1:15" s="39" customFormat="1" x14ac:dyDescent="0.25">
      <c r="A455" s="12"/>
      <c r="B455" s="52">
        <f t="shared" si="25"/>
        <v>450</v>
      </c>
      <c r="C455" s="53" t="s">
        <v>519</v>
      </c>
      <c r="D455" s="54" t="s">
        <v>356</v>
      </c>
      <c r="E455" s="53" t="s">
        <v>25</v>
      </c>
      <c r="F455" s="54" t="s">
        <v>357</v>
      </c>
      <c r="G455" s="43">
        <v>20000</v>
      </c>
      <c r="H455" s="43">
        <v>20000</v>
      </c>
      <c r="I455" s="43">
        <v>574</v>
      </c>
      <c r="J455" s="43">
        <v>0</v>
      </c>
      <c r="K455" s="43">
        <v>608</v>
      </c>
      <c r="L455" s="43">
        <v>5000</v>
      </c>
      <c r="M455" s="44">
        <f t="shared" si="26"/>
        <v>6182</v>
      </c>
      <c r="N455" s="44">
        <f t="shared" si="27"/>
        <v>13818</v>
      </c>
      <c r="O455" s="52" t="s">
        <v>19</v>
      </c>
    </row>
    <row r="456" spans="1:15" s="39" customFormat="1" x14ac:dyDescent="0.25">
      <c r="A456" s="12"/>
      <c r="B456" s="52">
        <f t="shared" si="25"/>
        <v>451</v>
      </c>
      <c r="C456" s="53" t="s">
        <v>520</v>
      </c>
      <c r="D456" s="54" t="s">
        <v>356</v>
      </c>
      <c r="E456" s="53" t="s">
        <v>25</v>
      </c>
      <c r="F456" s="54" t="s">
        <v>360</v>
      </c>
      <c r="G456" s="43">
        <v>15000</v>
      </c>
      <c r="H456" s="43">
        <v>15000</v>
      </c>
      <c r="I456" s="43">
        <v>430.5</v>
      </c>
      <c r="J456" s="43">
        <v>0</v>
      </c>
      <c r="K456" s="43">
        <v>456</v>
      </c>
      <c r="L456" s="43">
        <v>0</v>
      </c>
      <c r="M456" s="44">
        <f t="shared" si="26"/>
        <v>886.5</v>
      </c>
      <c r="N456" s="44">
        <f t="shared" si="27"/>
        <v>14113.5</v>
      </c>
      <c r="O456" s="52" t="s">
        <v>19</v>
      </c>
    </row>
    <row r="457" spans="1:15" s="39" customFormat="1" x14ac:dyDescent="0.25">
      <c r="A457" s="12"/>
      <c r="B457" s="60">
        <f t="shared" ref="B457:B520" si="28">+B456+1</f>
        <v>452</v>
      </c>
      <c r="C457" s="61" t="s">
        <v>521</v>
      </c>
      <c r="D457" s="62" t="s">
        <v>356</v>
      </c>
      <c r="E457" s="61" t="s">
        <v>25</v>
      </c>
      <c r="F457" s="62" t="s">
        <v>360</v>
      </c>
      <c r="G457" s="63">
        <v>15000</v>
      </c>
      <c r="H457" s="63">
        <v>15000</v>
      </c>
      <c r="I457" s="63">
        <v>430.5</v>
      </c>
      <c r="J457" s="63">
        <v>0</v>
      </c>
      <c r="K457" s="63">
        <v>456</v>
      </c>
      <c r="L457" s="63">
        <v>1000</v>
      </c>
      <c r="M457" s="64">
        <f t="shared" si="26"/>
        <v>1886.5</v>
      </c>
      <c r="N457" s="64">
        <f t="shared" si="27"/>
        <v>13113.5</v>
      </c>
      <c r="O457" s="60" t="s">
        <v>19</v>
      </c>
    </row>
    <row r="458" spans="1:15" s="39" customFormat="1" x14ac:dyDescent="0.25">
      <c r="A458" s="12"/>
      <c r="B458" s="52">
        <f t="shared" si="28"/>
        <v>453</v>
      </c>
      <c r="C458" s="53" t="s">
        <v>522</v>
      </c>
      <c r="D458" s="54" t="s">
        <v>356</v>
      </c>
      <c r="E458" s="53" t="s">
        <v>25</v>
      </c>
      <c r="F458" s="54" t="s">
        <v>360</v>
      </c>
      <c r="G458" s="43">
        <v>10000</v>
      </c>
      <c r="H458" s="43">
        <v>10000</v>
      </c>
      <c r="I458" s="43">
        <v>287</v>
      </c>
      <c r="J458" s="43">
        <v>0</v>
      </c>
      <c r="K458" s="43">
        <v>304</v>
      </c>
      <c r="L458" s="43">
        <v>0</v>
      </c>
      <c r="M458" s="44">
        <f t="shared" si="26"/>
        <v>591</v>
      </c>
      <c r="N458" s="44">
        <f t="shared" si="27"/>
        <v>9409</v>
      </c>
      <c r="O458" s="52" t="s">
        <v>19</v>
      </c>
    </row>
    <row r="459" spans="1:15" s="39" customFormat="1" ht="22.5" x14ac:dyDescent="0.25">
      <c r="A459" s="12"/>
      <c r="B459" s="52">
        <f t="shared" si="28"/>
        <v>454</v>
      </c>
      <c r="C459" s="53" t="s">
        <v>523</v>
      </c>
      <c r="D459" s="54" t="s">
        <v>356</v>
      </c>
      <c r="E459" s="53" t="s">
        <v>25</v>
      </c>
      <c r="F459" s="54" t="s">
        <v>373</v>
      </c>
      <c r="G459" s="43">
        <v>20000</v>
      </c>
      <c r="H459" s="43">
        <v>20000</v>
      </c>
      <c r="I459" s="43">
        <v>574</v>
      </c>
      <c r="J459" s="43">
        <v>0</v>
      </c>
      <c r="K459" s="43">
        <v>608</v>
      </c>
      <c r="L459" s="43">
        <v>31.21</v>
      </c>
      <c r="M459" s="44">
        <f t="shared" si="26"/>
        <v>1213.21</v>
      </c>
      <c r="N459" s="44">
        <f t="shared" si="27"/>
        <v>18786.79</v>
      </c>
      <c r="O459" s="52" t="s">
        <v>19</v>
      </c>
    </row>
    <row r="460" spans="1:15" s="39" customFormat="1" x14ac:dyDescent="0.25">
      <c r="A460" s="12"/>
      <c r="B460" s="52">
        <f t="shared" si="28"/>
        <v>455</v>
      </c>
      <c r="C460" s="53" t="s">
        <v>524</v>
      </c>
      <c r="D460" s="54" t="s">
        <v>356</v>
      </c>
      <c r="E460" s="53" t="s">
        <v>25</v>
      </c>
      <c r="F460" s="54" t="s">
        <v>360</v>
      </c>
      <c r="G460" s="43">
        <v>15000</v>
      </c>
      <c r="H460" s="43">
        <v>15000</v>
      </c>
      <c r="I460" s="43">
        <v>430.5</v>
      </c>
      <c r="J460" s="43">
        <v>0</v>
      </c>
      <c r="K460" s="43">
        <v>456</v>
      </c>
      <c r="L460" s="43">
        <v>500</v>
      </c>
      <c r="M460" s="44">
        <f t="shared" si="26"/>
        <v>1386.5</v>
      </c>
      <c r="N460" s="44">
        <f t="shared" si="27"/>
        <v>13613.5</v>
      </c>
      <c r="O460" s="52" t="s">
        <v>19</v>
      </c>
    </row>
    <row r="461" spans="1:15" s="39" customFormat="1" x14ac:dyDescent="0.25">
      <c r="A461" s="12"/>
      <c r="B461" s="52">
        <f t="shared" si="28"/>
        <v>456</v>
      </c>
      <c r="C461" s="53" t="s">
        <v>525</v>
      </c>
      <c r="D461" s="54" t="s">
        <v>356</v>
      </c>
      <c r="E461" s="53" t="s">
        <v>25</v>
      </c>
      <c r="F461" s="54" t="s">
        <v>360</v>
      </c>
      <c r="G461" s="43">
        <v>13000</v>
      </c>
      <c r="H461" s="43">
        <v>13000</v>
      </c>
      <c r="I461" s="43">
        <v>373.1</v>
      </c>
      <c r="J461" s="43">
        <v>0</v>
      </c>
      <c r="K461" s="43">
        <v>395.2</v>
      </c>
      <c r="L461" s="43">
        <v>0</v>
      </c>
      <c r="M461" s="44">
        <f t="shared" si="26"/>
        <v>768.3</v>
      </c>
      <c r="N461" s="44">
        <f t="shared" si="27"/>
        <v>12231.7</v>
      </c>
      <c r="O461" s="52" t="s">
        <v>19</v>
      </c>
    </row>
    <row r="462" spans="1:15" s="39" customFormat="1" x14ac:dyDescent="0.25">
      <c r="A462" s="12"/>
      <c r="B462" s="52">
        <f t="shared" si="28"/>
        <v>457</v>
      </c>
      <c r="C462" s="53" t="s">
        <v>526</v>
      </c>
      <c r="D462" s="54" t="s">
        <v>356</v>
      </c>
      <c r="E462" s="53" t="s">
        <v>25</v>
      </c>
      <c r="F462" s="54" t="s">
        <v>360</v>
      </c>
      <c r="G462" s="43">
        <v>15000</v>
      </c>
      <c r="H462" s="43">
        <v>15000</v>
      </c>
      <c r="I462" s="43">
        <v>430.5</v>
      </c>
      <c r="J462" s="43">
        <v>0</v>
      </c>
      <c r="K462" s="43">
        <v>456</v>
      </c>
      <c r="L462" s="43">
        <v>1000</v>
      </c>
      <c r="M462" s="44">
        <f t="shared" si="26"/>
        <v>1886.5</v>
      </c>
      <c r="N462" s="44">
        <f t="shared" si="27"/>
        <v>13113.5</v>
      </c>
      <c r="O462" s="52" t="s">
        <v>19</v>
      </c>
    </row>
    <row r="463" spans="1:15" s="39" customFormat="1" x14ac:dyDescent="0.25">
      <c r="A463" s="12"/>
      <c r="B463" s="60">
        <f t="shared" si="28"/>
        <v>458</v>
      </c>
      <c r="C463" s="61" t="s">
        <v>527</v>
      </c>
      <c r="D463" s="62" t="s">
        <v>356</v>
      </c>
      <c r="E463" s="61" t="s">
        <v>25</v>
      </c>
      <c r="F463" s="62" t="s">
        <v>360</v>
      </c>
      <c r="G463" s="63">
        <v>15000</v>
      </c>
      <c r="H463" s="63">
        <v>15000</v>
      </c>
      <c r="I463" s="63">
        <v>430.5</v>
      </c>
      <c r="J463" s="63">
        <v>0</v>
      </c>
      <c r="K463" s="63">
        <v>456</v>
      </c>
      <c r="L463" s="63">
        <v>2652.38</v>
      </c>
      <c r="M463" s="64">
        <f t="shared" si="26"/>
        <v>3538.88</v>
      </c>
      <c r="N463" s="64">
        <f t="shared" si="27"/>
        <v>11461.119999999999</v>
      </c>
      <c r="O463" s="60" t="s">
        <v>19</v>
      </c>
    </row>
    <row r="464" spans="1:15" s="39" customFormat="1" x14ac:dyDescent="0.25">
      <c r="A464" s="12"/>
      <c r="B464" s="52">
        <f t="shared" si="28"/>
        <v>459</v>
      </c>
      <c r="C464" s="53" t="s">
        <v>528</v>
      </c>
      <c r="D464" s="54" t="s">
        <v>356</v>
      </c>
      <c r="E464" s="53" t="s">
        <v>25</v>
      </c>
      <c r="F464" s="54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31.21</v>
      </c>
      <c r="M464" s="44">
        <f t="shared" si="26"/>
        <v>917.71</v>
      </c>
      <c r="N464" s="44">
        <f t="shared" si="27"/>
        <v>14082.29</v>
      </c>
      <c r="O464" s="52" t="s">
        <v>19</v>
      </c>
    </row>
    <row r="465" spans="1:15" s="39" customFormat="1" x14ac:dyDescent="0.25">
      <c r="A465" s="12"/>
      <c r="B465" s="52">
        <f t="shared" si="28"/>
        <v>460</v>
      </c>
      <c r="C465" s="53" t="s">
        <v>529</v>
      </c>
      <c r="D465" s="54" t="s">
        <v>356</v>
      </c>
      <c r="E465" s="53" t="s">
        <v>25</v>
      </c>
      <c r="F465" s="54" t="s">
        <v>360</v>
      </c>
      <c r="G465" s="43">
        <v>15000</v>
      </c>
      <c r="H465" s="43">
        <v>15000</v>
      </c>
      <c r="I465" s="43">
        <v>430.5</v>
      </c>
      <c r="J465" s="43">
        <v>0</v>
      </c>
      <c r="K465" s="43">
        <v>456</v>
      </c>
      <c r="L465" s="43">
        <v>4203.4399999999996</v>
      </c>
      <c r="M465" s="44">
        <f t="shared" si="26"/>
        <v>5089.9399999999996</v>
      </c>
      <c r="N465" s="44">
        <f t="shared" si="27"/>
        <v>9910.0600000000013</v>
      </c>
      <c r="O465" s="52" t="s">
        <v>19</v>
      </c>
    </row>
    <row r="466" spans="1:15" s="39" customFormat="1" x14ac:dyDescent="0.25">
      <c r="A466" s="12"/>
      <c r="B466" s="52">
        <f t="shared" si="28"/>
        <v>461</v>
      </c>
      <c r="C466" s="53" t="s">
        <v>530</v>
      </c>
      <c r="D466" s="54" t="s">
        <v>356</v>
      </c>
      <c r="E466" s="53" t="s">
        <v>25</v>
      </c>
      <c r="F466" s="54" t="s">
        <v>362</v>
      </c>
      <c r="G466" s="43">
        <v>20000</v>
      </c>
      <c r="H466" s="43">
        <v>20000</v>
      </c>
      <c r="I466" s="43">
        <v>574</v>
      </c>
      <c r="J466" s="43">
        <v>0</v>
      </c>
      <c r="K466" s="43">
        <v>608</v>
      </c>
      <c r="L466" s="43">
        <v>31.21</v>
      </c>
      <c r="M466" s="44">
        <f t="shared" si="26"/>
        <v>1213.21</v>
      </c>
      <c r="N466" s="44">
        <f t="shared" si="27"/>
        <v>18786.79</v>
      </c>
      <c r="O466" s="52" t="s">
        <v>19</v>
      </c>
    </row>
    <row r="467" spans="1:15" s="39" customFormat="1" x14ac:dyDescent="0.25">
      <c r="A467" s="12"/>
      <c r="B467" s="52">
        <f t="shared" si="28"/>
        <v>462</v>
      </c>
      <c r="C467" s="53" t="s">
        <v>531</v>
      </c>
      <c r="D467" s="54" t="s">
        <v>356</v>
      </c>
      <c r="E467" s="53" t="s">
        <v>25</v>
      </c>
      <c r="F467" s="54" t="s">
        <v>357</v>
      </c>
      <c r="G467" s="43">
        <v>15000</v>
      </c>
      <c r="H467" s="43">
        <v>15000</v>
      </c>
      <c r="I467" s="43">
        <v>430.5</v>
      </c>
      <c r="J467" s="43">
        <v>0</v>
      </c>
      <c r="K467" s="43">
        <v>456</v>
      </c>
      <c r="L467" s="43">
        <v>31.21</v>
      </c>
      <c r="M467" s="44">
        <f t="shared" si="26"/>
        <v>917.71</v>
      </c>
      <c r="N467" s="44">
        <f t="shared" si="27"/>
        <v>14082.29</v>
      </c>
      <c r="O467" s="52" t="s">
        <v>19</v>
      </c>
    </row>
    <row r="468" spans="1:15" s="39" customFormat="1" x14ac:dyDescent="0.25">
      <c r="A468" s="12"/>
      <c r="B468" s="52">
        <f t="shared" si="28"/>
        <v>463</v>
      </c>
      <c r="C468" s="53" t="s">
        <v>532</v>
      </c>
      <c r="D468" s="54" t="s">
        <v>356</v>
      </c>
      <c r="E468" s="53" t="s">
        <v>25</v>
      </c>
      <c r="F468" s="54" t="s">
        <v>362</v>
      </c>
      <c r="G468" s="43">
        <v>12100</v>
      </c>
      <c r="H468" s="43">
        <v>12100</v>
      </c>
      <c r="I468" s="43">
        <v>347.27</v>
      </c>
      <c r="J468" s="43">
        <v>0</v>
      </c>
      <c r="K468" s="43">
        <v>367.84</v>
      </c>
      <c r="L468" s="43">
        <v>1330</v>
      </c>
      <c r="M468" s="44">
        <f t="shared" si="26"/>
        <v>2045.11</v>
      </c>
      <c r="N468" s="44">
        <f t="shared" si="27"/>
        <v>10054.89</v>
      </c>
      <c r="O468" s="52" t="s">
        <v>19</v>
      </c>
    </row>
    <row r="469" spans="1:15" s="39" customFormat="1" x14ac:dyDescent="0.25">
      <c r="A469" s="12"/>
      <c r="B469" s="60">
        <f t="shared" si="28"/>
        <v>464</v>
      </c>
      <c r="C469" s="61" t="s">
        <v>533</v>
      </c>
      <c r="D469" s="62" t="s">
        <v>356</v>
      </c>
      <c r="E469" s="61" t="s">
        <v>25</v>
      </c>
      <c r="F469" s="62" t="s">
        <v>362</v>
      </c>
      <c r="G469" s="63">
        <v>20000</v>
      </c>
      <c r="H469" s="63">
        <v>20000</v>
      </c>
      <c r="I469" s="63">
        <v>574</v>
      </c>
      <c r="J469" s="63">
        <v>0</v>
      </c>
      <c r="K469" s="63">
        <v>608</v>
      </c>
      <c r="L469" s="63">
        <v>5062.5</v>
      </c>
      <c r="M469" s="64">
        <f t="shared" si="26"/>
        <v>6244.5</v>
      </c>
      <c r="N469" s="64">
        <f t="shared" si="27"/>
        <v>13755.5</v>
      </c>
      <c r="O469" s="60" t="s">
        <v>19</v>
      </c>
    </row>
    <row r="470" spans="1:15" s="39" customFormat="1" x14ac:dyDescent="0.25">
      <c r="A470" s="12"/>
      <c r="B470" s="52">
        <f t="shared" si="28"/>
        <v>465</v>
      </c>
      <c r="C470" s="53" t="s">
        <v>534</v>
      </c>
      <c r="D470" s="54" t="s">
        <v>356</v>
      </c>
      <c r="E470" s="53" t="s">
        <v>25</v>
      </c>
      <c r="F470" s="54" t="s">
        <v>360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0</v>
      </c>
      <c r="M470" s="44">
        <f t="shared" si="26"/>
        <v>886.5</v>
      </c>
      <c r="N470" s="44">
        <f t="shared" si="27"/>
        <v>14113.5</v>
      </c>
      <c r="O470" s="52" t="s">
        <v>19</v>
      </c>
    </row>
    <row r="471" spans="1:15" s="39" customFormat="1" x14ac:dyDescent="0.25">
      <c r="A471" s="12"/>
      <c r="B471" s="52">
        <f t="shared" si="28"/>
        <v>466</v>
      </c>
      <c r="C471" s="53" t="s">
        <v>535</v>
      </c>
      <c r="D471" s="54" t="s">
        <v>356</v>
      </c>
      <c r="E471" s="53" t="s">
        <v>25</v>
      </c>
      <c r="F471" s="54" t="s">
        <v>360</v>
      </c>
      <c r="G471" s="43">
        <v>15000</v>
      </c>
      <c r="H471" s="43">
        <v>15000</v>
      </c>
      <c r="I471" s="43">
        <v>430.5</v>
      </c>
      <c r="J471" s="43">
        <v>0</v>
      </c>
      <c r="K471" s="43">
        <v>456</v>
      </c>
      <c r="L471" s="43">
        <v>0</v>
      </c>
      <c r="M471" s="44">
        <f t="shared" si="26"/>
        <v>886.5</v>
      </c>
      <c r="N471" s="44">
        <f t="shared" si="27"/>
        <v>14113.5</v>
      </c>
      <c r="O471" s="52" t="s">
        <v>19</v>
      </c>
    </row>
    <row r="472" spans="1:15" s="39" customFormat="1" x14ac:dyDescent="0.25">
      <c r="A472" s="12"/>
      <c r="B472" s="52">
        <f t="shared" si="28"/>
        <v>467</v>
      </c>
      <c r="C472" s="53" t="s">
        <v>536</v>
      </c>
      <c r="D472" s="54" t="s">
        <v>356</v>
      </c>
      <c r="E472" s="53" t="s">
        <v>25</v>
      </c>
      <c r="F472" s="54" t="s">
        <v>360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52" t="s">
        <v>19</v>
      </c>
    </row>
    <row r="473" spans="1:15" s="39" customFormat="1" x14ac:dyDescent="0.25">
      <c r="A473" s="12"/>
      <c r="B473" s="52">
        <f t="shared" si="28"/>
        <v>468</v>
      </c>
      <c r="C473" s="53" t="s">
        <v>537</v>
      </c>
      <c r="D473" s="54" t="s">
        <v>356</v>
      </c>
      <c r="E473" s="53" t="s">
        <v>25</v>
      </c>
      <c r="F473" s="54" t="s">
        <v>360</v>
      </c>
      <c r="G473" s="43">
        <v>15000</v>
      </c>
      <c r="H473" s="43">
        <v>15000</v>
      </c>
      <c r="I473" s="43">
        <v>430.5</v>
      </c>
      <c r="J473" s="43">
        <v>0</v>
      </c>
      <c r="K473" s="43">
        <v>456</v>
      </c>
      <c r="L473" s="43">
        <v>0</v>
      </c>
      <c r="M473" s="44">
        <f t="shared" si="26"/>
        <v>886.5</v>
      </c>
      <c r="N473" s="44">
        <f t="shared" si="27"/>
        <v>14113.5</v>
      </c>
      <c r="O473" s="52" t="s">
        <v>19</v>
      </c>
    </row>
    <row r="474" spans="1:15" s="39" customFormat="1" x14ac:dyDescent="0.25">
      <c r="A474" s="12"/>
      <c r="B474" s="52">
        <f t="shared" si="28"/>
        <v>469</v>
      </c>
      <c r="C474" s="53" t="s">
        <v>538</v>
      </c>
      <c r="D474" s="54" t="s">
        <v>356</v>
      </c>
      <c r="E474" s="53" t="s">
        <v>25</v>
      </c>
      <c r="F474" s="54" t="s">
        <v>360</v>
      </c>
      <c r="G474" s="43">
        <v>15000</v>
      </c>
      <c r="H474" s="43">
        <v>15000</v>
      </c>
      <c r="I474" s="43">
        <v>430.5</v>
      </c>
      <c r="J474" s="43">
        <v>0</v>
      </c>
      <c r="K474" s="43">
        <v>456</v>
      </c>
      <c r="L474" s="43">
        <v>3258.32</v>
      </c>
      <c r="M474" s="44">
        <f t="shared" si="26"/>
        <v>4144.82</v>
      </c>
      <c r="N474" s="44">
        <f t="shared" si="27"/>
        <v>10855.18</v>
      </c>
      <c r="O474" s="52" t="s">
        <v>19</v>
      </c>
    </row>
    <row r="475" spans="1:15" s="39" customFormat="1" x14ac:dyDescent="0.25">
      <c r="A475" s="12"/>
      <c r="B475" s="52">
        <f t="shared" si="28"/>
        <v>470</v>
      </c>
      <c r="C475" s="53" t="s">
        <v>539</v>
      </c>
      <c r="D475" s="54" t="s">
        <v>356</v>
      </c>
      <c r="E475" s="53" t="s">
        <v>25</v>
      </c>
      <c r="F475" s="54" t="s">
        <v>360</v>
      </c>
      <c r="G475" s="43">
        <v>10000</v>
      </c>
      <c r="H475" s="43">
        <v>10000</v>
      </c>
      <c r="I475" s="43">
        <v>287</v>
      </c>
      <c r="J475" s="43">
        <v>0</v>
      </c>
      <c r="K475" s="43">
        <v>304</v>
      </c>
      <c r="L475" s="43">
        <v>0</v>
      </c>
      <c r="M475" s="44">
        <f t="shared" si="26"/>
        <v>591</v>
      </c>
      <c r="N475" s="44">
        <f t="shared" si="27"/>
        <v>9409</v>
      </c>
      <c r="O475" s="52" t="s">
        <v>19</v>
      </c>
    </row>
    <row r="476" spans="1:15" s="39" customFormat="1" x14ac:dyDescent="0.25">
      <c r="A476" s="12"/>
      <c r="B476" s="52">
        <f t="shared" si="28"/>
        <v>471</v>
      </c>
      <c r="C476" s="53" t="s">
        <v>540</v>
      </c>
      <c r="D476" s="54" t="s">
        <v>356</v>
      </c>
      <c r="E476" s="53" t="s">
        <v>25</v>
      </c>
      <c r="F476" s="54" t="s">
        <v>360</v>
      </c>
      <c r="G476" s="43">
        <v>15000</v>
      </c>
      <c r="H476" s="43">
        <v>15000</v>
      </c>
      <c r="I476" s="43">
        <v>430.5</v>
      </c>
      <c r="J476" s="43">
        <v>0</v>
      </c>
      <c r="K476" s="43">
        <v>456</v>
      </c>
      <c r="L476" s="43">
        <v>31.21</v>
      </c>
      <c r="M476" s="44">
        <f t="shared" si="26"/>
        <v>917.71</v>
      </c>
      <c r="N476" s="44">
        <f t="shared" si="27"/>
        <v>14082.29</v>
      </c>
      <c r="O476" s="52" t="s">
        <v>19</v>
      </c>
    </row>
    <row r="477" spans="1:15" s="39" customFormat="1" x14ac:dyDescent="0.25">
      <c r="A477" s="12"/>
      <c r="B477" s="52">
        <f t="shared" si="28"/>
        <v>472</v>
      </c>
      <c r="C477" s="53" t="s">
        <v>541</v>
      </c>
      <c r="D477" s="54" t="s">
        <v>356</v>
      </c>
      <c r="E477" s="53" t="s">
        <v>25</v>
      </c>
      <c r="F477" s="54" t="s">
        <v>360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0</v>
      </c>
      <c r="M477" s="44">
        <f t="shared" si="26"/>
        <v>886.5</v>
      </c>
      <c r="N477" s="44">
        <f t="shared" si="27"/>
        <v>14113.5</v>
      </c>
      <c r="O477" s="52" t="s">
        <v>19</v>
      </c>
    </row>
    <row r="478" spans="1:15" s="39" customFormat="1" x14ac:dyDescent="0.25">
      <c r="A478" s="12"/>
      <c r="B478" s="52">
        <f t="shared" si="28"/>
        <v>473</v>
      </c>
      <c r="C478" s="53" t="s">
        <v>542</v>
      </c>
      <c r="D478" s="54" t="s">
        <v>356</v>
      </c>
      <c r="E478" s="53" t="s">
        <v>25</v>
      </c>
      <c r="F478" s="54" t="s">
        <v>360</v>
      </c>
      <c r="G478" s="43">
        <v>15000</v>
      </c>
      <c r="H478" s="43">
        <v>15000</v>
      </c>
      <c r="I478" s="43">
        <v>430.5</v>
      </c>
      <c r="J478" s="43">
        <v>0</v>
      </c>
      <c r="K478" s="43">
        <v>456</v>
      </c>
      <c r="L478" s="43">
        <v>0</v>
      </c>
      <c r="M478" s="44">
        <f t="shared" si="26"/>
        <v>886.5</v>
      </c>
      <c r="N478" s="44">
        <f t="shared" si="27"/>
        <v>14113.5</v>
      </c>
      <c r="O478" s="52" t="s">
        <v>19</v>
      </c>
    </row>
    <row r="479" spans="1:15" s="39" customFormat="1" x14ac:dyDescent="0.25">
      <c r="A479" s="12"/>
      <c r="B479" s="52">
        <f t="shared" si="28"/>
        <v>474</v>
      </c>
      <c r="C479" s="53" t="s">
        <v>543</v>
      </c>
      <c r="D479" s="54" t="s">
        <v>356</v>
      </c>
      <c r="E479" s="53" t="s">
        <v>25</v>
      </c>
      <c r="F479" s="54" t="s">
        <v>360</v>
      </c>
      <c r="G479" s="43">
        <v>15000</v>
      </c>
      <c r="H479" s="43">
        <v>15000</v>
      </c>
      <c r="I479" s="43">
        <v>430.5</v>
      </c>
      <c r="J479" s="43">
        <v>0</v>
      </c>
      <c r="K479" s="43">
        <v>456</v>
      </c>
      <c r="L479" s="43">
        <v>0</v>
      </c>
      <c r="M479" s="44">
        <f t="shared" si="26"/>
        <v>886.5</v>
      </c>
      <c r="N479" s="44">
        <f t="shared" si="27"/>
        <v>14113.5</v>
      </c>
      <c r="O479" s="52" t="s">
        <v>19</v>
      </c>
    </row>
    <row r="480" spans="1:15" s="39" customFormat="1" x14ac:dyDescent="0.25">
      <c r="A480" s="12"/>
      <c r="B480" s="52">
        <f t="shared" si="28"/>
        <v>475</v>
      </c>
      <c r="C480" s="53" t="s">
        <v>544</v>
      </c>
      <c r="D480" s="54" t="s">
        <v>356</v>
      </c>
      <c r="E480" s="53" t="s">
        <v>25</v>
      </c>
      <c r="F480" s="54" t="s">
        <v>360</v>
      </c>
      <c r="G480" s="43">
        <v>15000</v>
      </c>
      <c r="H480" s="43">
        <v>15000</v>
      </c>
      <c r="I480" s="43">
        <v>430.5</v>
      </c>
      <c r="J480" s="43">
        <v>0</v>
      </c>
      <c r="K480" s="43">
        <v>456</v>
      </c>
      <c r="L480" s="43">
        <v>0</v>
      </c>
      <c r="M480" s="44">
        <f t="shared" si="26"/>
        <v>886.5</v>
      </c>
      <c r="N480" s="44">
        <f t="shared" si="27"/>
        <v>14113.5</v>
      </c>
      <c r="O480" s="52" t="s">
        <v>19</v>
      </c>
    </row>
    <row r="481" spans="1:15" s="39" customFormat="1" x14ac:dyDescent="0.25">
      <c r="A481" s="12"/>
      <c r="B481" s="52">
        <f t="shared" si="28"/>
        <v>476</v>
      </c>
      <c r="C481" s="53" t="s">
        <v>545</v>
      </c>
      <c r="D481" s="54" t="s">
        <v>356</v>
      </c>
      <c r="E481" s="53" t="s">
        <v>25</v>
      </c>
      <c r="F481" s="54" t="s">
        <v>362</v>
      </c>
      <c r="G481" s="43">
        <v>15000</v>
      </c>
      <c r="H481" s="43">
        <v>15000</v>
      </c>
      <c r="I481" s="43">
        <v>430.5</v>
      </c>
      <c r="J481" s="43">
        <v>0</v>
      </c>
      <c r="K481" s="43">
        <v>456</v>
      </c>
      <c r="L481" s="43">
        <v>0</v>
      </c>
      <c r="M481" s="44">
        <f t="shared" si="26"/>
        <v>886.5</v>
      </c>
      <c r="N481" s="44">
        <f t="shared" si="27"/>
        <v>14113.5</v>
      </c>
      <c r="O481" s="52" t="s">
        <v>19</v>
      </c>
    </row>
    <row r="482" spans="1:15" s="39" customFormat="1" x14ac:dyDescent="0.25">
      <c r="A482" s="12"/>
      <c r="B482" s="52">
        <f t="shared" si="28"/>
        <v>477</v>
      </c>
      <c r="C482" s="53" t="s">
        <v>546</v>
      </c>
      <c r="D482" s="54" t="s">
        <v>356</v>
      </c>
      <c r="E482" s="53" t="s">
        <v>25</v>
      </c>
      <c r="F482" s="54" t="s">
        <v>357</v>
      </c>
      <c r="G482" s="43">
        <v>15000</v>
      </c>
      <c r="H482" s="43">
        <v>15000</v>
      </c>
      <c r="I482" s="43">
        <v>430.5</v>
      </c>
      <c r="J482" s="43">
        <v>0</v>
      </c>
      <c r="K482" s="43">
        <v>456</v>
      </c>
      <c r="L482" s="43">
        <v>0</v>
      </c>
      <c r="M482" s="44">
        <f t="shared" si="26"/>
        <v>886.5</v>
      </c>
      <c r="N482" s="44">
        <f t="shared" si="27"/>
        <v>14113.5</v>
      </c>
      <c r="O482" s="52" t="s">
        <v>19</v>
      </c>
    </row>
    <row r="483" spans="1:15" s="39" customFormat="1" x14ac:dyDescent="0.25">
      <c r="A483" s="12"/>
      <c r="B483" s="52">
        <f t="shared" si="28"/>
        <v>478</v>
      </c>
      <c r="C483" s="53" t="s">
        <v>547</v>
      </c>
      <c r="D483" s="54" t="s">
        <v>356</v>
      </c>
      <c r="E483" s="53" t="s">
        <v>25</v>
      </c>
      <c r="F483" s="54" t="s">
        <v>360</v>
      </c>
      <c r="G483" s="43">
        <v>15000</v>
      </c>
      <c r="H483" s="43">
        <v>15000</v>
      </c>
      <c r="I483" s="43">
        <v>430.5</v>
      </c>
      <c r="J483" s="43">
        <v>0</v>
      </c>
      <c r="K483" s="43">
        <v>456</v>
      </c>
      <c r="L483" s="43">
        <v>2000</v>
      </c>
      <c r="M483" s="44">
        <f t="shared" si="26"/>
        <v>2886.5</v>
      </c>
      <c r="N483" s="44">
        <f t="shared" si="27"/>
        <v>12113.5</v>
      </c>
      <c r="O483" s="52" t="s">
        <v>19</v>
      </c>
    </row>
    <row r="484" spans="1:15" s="39" customFormat="1" x14ac:dyDescent="0.25">
      <c r="A484" s="12"/>
      <c r="B484" s="52">
        <f>+B483+1</f>
        <v>479</v>
      </c>
      <c r="C484" s="53" t="s">
        <v>548</v>
      </c>
      <c r="D484" s="54" t="s">
        <v>356</v>
      </c>
      <c r="E484" s="53" t="s">
        <v>25</v>
      </c>
      <c r="F484" s="54" t="s">
        <v>362</v>
      </c>
      <c r="G484" s="43">
        <v>15000</v>
      </c>
      <c r="H484" s="43">
        <v>15000</v>
      </c>
      <c r="I484" s="43">
        <v>430.5</v>
      </c>
      <c r="J484" s="43">
        <v>0</v>
      </c>
      <c r="K484" s="43">
        <v>456</v>
      </c>
      <c r="L484" s="43">
        <v>0</v>
      </c>
      <c r="M484" s="44">
        <f t="shared" si="26"/>
        <v>886.5</v>
      </c>
      <c r="N484" s="44">
        <f t="shared" si="27"/>
        <v>14113.5</v>
      </c>
      <c r="O484" s="52" t="s">
        <v>19</v>
      </c>
    </row>
    <row r="485" spans="1:15" s="39" customFormat="1" ht="22.5" x14ac:dyDescent="0.25">
      <c r="A485" s="12"/>
      <c r="B485" s="52">
        <f t="shared" si="28"/>
        <v>480</v>
      </c>
      <c r="C485" s="53" t="s">
        <v>549</v>
      </c>
      <c r="D485" s="54" t="s">
        <v>356</v>
      </c>
      <c r="E485" s="53" t="s">
        <v>25</v>
      </c>
      <c r="F485" s="54" t="s">
        <v>373</v>
      </c>
      <c r="G485" s="43">
        <v>20000</v>
      </c>
      <c r="H485" s="43">
        <v>20000</v>
      </c>
      <c r="I485" s="43">
        <v>574</v>
      </c>
      <c r="J485" s="43">
        <v>0</v>
      </c>
      <c r="K485" s="43">
        <v>608</v>
      </c>
      <c r="L485" s="43">
        <v>0</v>
      </c>
      <c r="M485" s="44">
        <f t="shared" si="26"/>
        <v>1182</v>
      </c>
      <c r="N485" s="44">
        <f t="shared" si="27"/>
        <v>18818</v>
      </c>
      <c r="O485" s="52" t="s">
        <v>19</v>
      </c>
    </row>
    <row r="486" spans="1:15" s="39" customFormat="1" x14ac:dyDescent="0.25">
      <c r="A486" s="12"/>
      <c r="B486" s="52">
        <f t="shared" si="28"/>
        <v>481</v>
      </c>
      <c r="C486" s="53" t="s">
        <v>550</v>
      </c>
      <c r="D486" s="54" t="s">
        <v>356</v>
      </c>
      <c r="E486" s="53" t="s">
        <v>25</v>
      </c>
      <c r="F486" s="54" t="s">
        <v>360</v>
      </c>
      <c r="G486" s="43">
        <v>15000</v>
      </c>
      <c r="H486" s="43">
        <v>15000</v>
      </c>
      <c r="I486" s="43">
        <v>430.5</v>
      </c>
      <c r="J486" s="43">
        <v>0</v>
      </c>
      <c r="K486" s="43">
        <v>456</v>
      </c>
      <c r="L486" s="43">
        <v>0</v>
      </c>
      <c r="M486" s="44">
        <f t="shared" si="26"/>
        <v>886.5</v>
      </c>
      <c r="N486" s="44">
        <f t="shared" si="27"/>
        <v>14113.5</v>
      </c>
      <c r="O486" s="52" t="s">
        <v>19</v>
      </c>
    </row>
    <row r="487" spans="1:15" s="39" customFormat="1" x14ac:dyDescent="0.25">
      <c r="A487" s="12"/>
      <c r="B487" s="52">
        <f t="shared" si="28"/>
        <v>482</v>
      </c>
      <c r="C487" s="53" t="s">
        <v>551</v>
      </c>
      <c r="D487" s="54" t="s">
        <v>356</v>
      </c>
      <c r="E487" s="53" t="s">
        <v>25</v>
      </c>
      <c r="F487" s="54" t="s">
        <v>360</v>
      </c>
      <c r="G487" s="43">
        <v>12000</v>
      </c>
      <c r="H487" s="43">
        <v>12000</v>
      </c>
      <c r="I487" s="43">
        <v>344.4</v>
      </c>
      <c r="J487" s="43">
        <v>0</v>
      </c>
      <c r="K487" s="43">
        <v>364.8</v>
      </c>
      <c r="L487" s="43">
        <v>0</v>
      </c>
      <c r="M487" s="44">
        <f t="shared" si="26"/>
        <v>709.2</v>
      </c>
      <c r="N487" s="44">
        <f t="shared" si="27"/>
        <v>11290.8</v>
      </c>
      <c r="O487" s="52" t="s">
        <v>19</v>
      </c>
    </row>
    <row r="488" spans="1:15" s="39" customFormat="1" x14ac:dyDescent="0.25">
      <c r="A488" s="12"/>
      <c r="B488" s="52">
        <f t="shared" si="28"/>
        <v>483</v>
      </c>
      <c r="C488" s="53" t="s">
        <v>552</v>
      </c>
      <c r="D488" s="54" t="s">
        <v>356</v>
      </c>
      <c r="E488" s="53" t="s">
        <v>25</v>
      </c>
      <c r="F488" s="54" t="s">
        <v>357</v>
      </c>
      <c r="G488" s="43">
        <v>15000</v>
      </c>
      <c r="H488" s="43">
        <v>15000</v>
      </c>
      <c r="I488" s="43">
        <v>430.5</v>
      </c>
      <c r="J488" s="43">
        <v>0</v>
      </c>
      <c r="K488" s="43">
        <v>456</v>
      </c>
      <c r="L488" s="43">
        <v>0</v>
      </c>
      <c r="M488" s="44">
        <f t="shared" si="26"/>
        <v>886.5</v>
      </c>
      <c r="N488" s="44">
        <f t="shared" si="27"/>
        <v>14113.5</v>
      </c>
      <c r="O488" s="52" t="s">
        <v>19</v>
      </c>
    </row>
    <row r="489" spans="1:15" s="39" customFormat="1" x14ac:dyDescent="0.25">
      <c r="A489" s="12"/>
      <c r="B489" s="52">
        <f t="shared" si="28"/>
        <v>484</v>
      </c>
      <c r="C489" s="53" t="s">
        <v>553</v>
      </c>
      <c r="D489" s="54" t="s">
        <v>356</v>
      </c>
      <c r="E489" s="53" t="s">
        <v>25</v>
      </c>
      <c r="F489" s="54" t="s">
        <v>360</v>
      </c>
      <c r="G489" s="43">
        <v>15000</v>
      </c>
      <c r="H489" s="43">
        <v>15000</v>
      </c>
      <c r="I489" s="43">
        <v>430.5</v>
      </c>
      <c r="J489" s="43">
        <v>0</v>
      </c>
      <c r="K489" s="43">
        <v>456</v>
      </c>
      <c r="L489" s="43">
        <v>1000</v>
      </c>
      <c r="M489" s="44">
        <f t="shared" si="26"/>
        <v>1886.5</v>
      </c>
      <c r="N489" s="44">
        <f t="shared" si="27"/>
        <v>13113.5</v>
      </c>
      <c r="O489" s="52" t="s">
        <v>19</v>
      </c>
    </row>
    <row r="490" spans="1:15" s="39" customFormat="1" x14ac:dyDescent="0.25">
      <c r="A490" s="12"/>
      <c r="B490" s="52">
        <f t="shared" si="28"/>
        <v>485</v>
      </c>
      <c r="C490" s="53" t="s">
        <v>554</v>
      </c>
      <c r="D490" s="54" t="s">
        <v>356</v>
      </c>
      <c r="E490" s="53" t="s">
        <v>25</v>
      </c>
      <c r="F490" s="54" t="s">
        <v>360</v>
      </c>
      <c r="G490" s="43">
        <v>15000</v>
      </c>
      <c r="H490" s="43">
        <v>15000</v>
      </c>
      <c r="I490" s="43">
        <v>430.5</v>
      </c>
      <c r="J490" s="43">
        <v>0</v>
      </c>
      <c r="K490" s="43">
        <v>456</v>
      </c>
      <c r="L490" s="43">
        <v>0</v>
      </c>
      <c r="M490" s="44">
        <f t="shared" si="26"/>
        <v>886.5</v>
      </c>
      <c r="N490" s="44">
        <f t="shared" si="27"/>
        <v>14113.5</v>
      </c>
      <c r="O490" s="52" t="s">
        <v>19</v>
      </c>
    </row>
    <row r="491" spans="1:15" s="39" customFormat="1" x14ac:dyDescent="0.25">
      <c r="A491" s="12"/>
      <c r="B491" s="52">
        <f t="shared" si="28"/>
        <v>486</v>
      </c>
      <c r="C491" s="53" t="s">
        <v>555</v>
      </c>
      <c r="D491" s="54" t="s">
        <v>356</v>
      </c>
      <c r="E491" s="53" t="s">
        <v>25</v>
      </c>
      <c r="F491" s="54" t="s">
        <v>357</v>
      </c>
      <c r="G491" s="43">
        <v>15000</v>
      </c>
      <c r="H491" s="43">
        <v>15000</v>
      </c>
      <c r="I491" s="43">
        <v>430.5</v>
      </c>
      <c r="J491" s="43">
        <v>0</v>
      </c>
      <c r="K491" s="43">
        <v>456</v>
      </c>
      <c r="L491" s="43">
        <v>5452.1</v>
      </c>
      <c r="M491" s="44">
        <f t="shared" si="26"/>
        <v>6338.6</v>
      </c>
      <c r="N491" s="44">
        <f t="shared" si="27"/>
        <v>8661.4</v>
      </c>
      <c r="O491" s="52" t="s">
        <v>19</v>
      </c>
    </row>
    <row r="492" spans="1:15" s="39" customFormat="1" x14ac:dyDescent="0.25">
      <c r="A492" s="12"/>
      <c r="B492" s="52">
        <f t="shared" si="28"/>
        <v>487</v>
      </c>
      <c r="C492" s="53" t="s">
        <v>556</v>
      </c>
      <c r="D492" s="54" t="s">
        <v>356</v>
      </c>
      <c r="E492" s="53" t="s">
        <v>25</v>
      </c>
      <c r="F492" s="54" t="s">
        <v>360</v>
      </c>
      <c r="G492" s="43">
        <v>15000</v>
      </c>
      <c r="H492" s="43">
        <v>15000</v>
      </c>
      <c r="I492" s="43">
        <v>430.5</v>
      </c>
      <c r="J492" s="43">
        <v>0</v>
      </c>
      <c r="K492" s="43">
        <v>456</v>
      </c>
      <c r="L492" s="43">
        <v>1000</v>
      </c>
      <c r="M492" s="44">
        <f t="shared" si="26"/>
        <v>1886.5</v>
      </c>
      <c r="N492" s="44">
        <f t="shared" si="27"/>
        <v>13113.5</v>
      </c>
      <c r="O492" s="52" t="s">
        <v>19</v>
      </c>
    </row>
    <row r="493" spans="1:15" s="39" customFormat="1" x14ac:dyDescent="0.25">
      <c r="A493" s="12"/>
      <c r="B493" s="52">
        <f t="shared" si="28"/>
        <v>488</v>
      </c>
      <c r="C493" s="53" t="s">
        <v>557</v>
      </c>
      <c r="D493" s="54" t="s">
        <v>356</v>
      </c>
      <c r="E493" s="53" t="s">
        <v>25</v>
      </c>
      <c r="F493" s="54" t="s">
        <v>357</v>
      </c>
      <c r="G493" s="43">
        <v>15000</v>
      </c>
      <c r="H493" s="43">
        <v>15000</v>
      </c>
      <c r="I493" s="43">
        <v>430.5</v>
      </c>
      <c r="J493" s="43">
        <v>0</v>
      </c>
      <c r="K493" s="43">
        <v>456</v>
      </c>
      <c r="L493" s="43">
        <v>0</v>
      </c>
      <c r="M493" s="44">
        <f t="shared" ref="M493:M498" si="29">SUM(I493:L493)</f>
        <v>886.5</v>
      </c>
      <c r="N493" s="44">
        <f t="shared" si="27"/>
        <v>14113.5</v>
      </c>
      <c r="O493" s="52" t="s">
        <v>19</v>
      </c>
    </row>
    <row r="494" spans="1:15" s="39" customFormat="1" x14ac:dyDescent="0.25">
      <c r="A494" s="12"/>
      <c r="B494" s="52">
        <f t="shared" si="28"/>
        <v>489</v>
      </c>
      <c r="C494" s="53" t="s">
        <v>558</v>
      </c>
      <c r="D494" s="54" t="s">
        <v>356</v>
      </c>
      <c r="E494" s="53" t="s">
        <v>25</v>
      </c>
      <c r="F494" s="54" t="s">
        <v>360</v>
      </c>
      <c r="G494" s="43">
        <v>10000</v>
      </c>
      <c r="H494" s="43">
        <v>10000</v>
      </c>
      <c r="I494" s="43">
        <v>287</v>
      </c>
      <c r="J494" s="43">
        <v>0</v>
      </c>
      <c r="K494" s="43">
        <v>304</v>
      </c>
      <c r="L494" s="43">
        <v>1000</v>
      </c>
      <c r="M494" s="44">
        <f t="shared" si="29"/>
        <v>1591</v>
      </c>
      <c r="N494" s="44">
        <f t="shared" si="27"/>
        <v>8409</v>
      </c>
      <c r="O494" s="52" t="s">
        <v>19</v>
      </c>
    </row>
    <row r="495" spans="1:15" s="39" customFormat="1" x14ac:dyDescent="0.25">
      <c r="A495" s="12"/>
      <c r="B495" s="52">
        <f t="shared" si="28"/>
        <v>490</v>
      </c>
      <c r="C495" s="53" t="s">
        <v>559</v>
      </c>
      <c r="D495" s="54" t="s">
        <v>356</v>
      </c>
      <c r="E495" s="53" t="s">
        <v>25</v>
      </c>
      <c r="F495" s="54" t="s">
        <v>360</v>
      </c>
      <c r="G495" s="43">
        <v>10000</v>
      </c>
      <c r="H495" s="43">
        <v>10000</v>
      </c>
      <c r="I495" s="43">
        <v>287</v>
      </c>
      <c r="J495" s="43">
        <v>0</v>
      </c>
      <c r="K495" s="43">
        <v>304</v>
      </c>
      <c r="L495" s="43">
        <v>0</v>
      </c>
      <c r="M495" s="44">
        <f t="shared" si="29"/>
        <v>591</v>
      </c>
      <c r="N495" s="44">
        <f t="shared" si="27"/>
        <v>9409</v>
      </c>
      <c r="O495" s="52" t="s">
        <v>19</v>
      </c>
    </row>
    <row r="496" spans="1:15" s="39" customFormat="1" ht="22.5" x14ac:dyDescent="0.25">
      <c r="A496" s="12"/>
      <c r="B496" s="60">
        <f>+B495+1</f>
        <v>491</v>
      </c>
      <c r="C496" s="61" t="s">
        <v>560</v>
      </c>
      <c r="D496" s="62" t="s">
        <v>356</v>
      </c>
      <c r="E496" s="61" t="s">
        <v>25</v>
      </c>
      <c r="F496" s="62" t="s">
        <v>373</v>
      </c>
      <c r="G496" s="63">
        <v>18100</v>
      </c>
      <c r="H496" s="63">
        <v>18100</v>
      </c>
      <c r="I496" s="63">
        <v>519.47</v>
      </c>
      <c r="J496" s="63">
        <v>0</v>
      </c>
      <c r="K496" s="63">
        <v>550.24</v>
      </c>
      <c r="L496" s="63">
        <v>1000</v>
      </c>
      <c r="M496" s="64">
        <f t="shared" si="29"/>
        <v>2069.71</v>
      </c>
      <c r="N496" s="64">
        <f t="shared" si="27"/>
        <v>16030.29</v>
      </c>
      <c r="O496" s="60" t="s">
        <v>19</v>
      </c>
    </row>
    <row r="497" spans="1:15" s="39" customFormat="1" x14ac:dyDescent="0.25">
      <c r="A497" s="12"/>
      <c r="B497" s="52">
        <f t="shared" si="28"/>
        <v>492</v>
      </c>
      <c r="C497" s="53" t="s">
        <v>561</v>
      </c>
      <c r="D497" s="54" t="s">
        <v>356</v>
      </c>
      <c r="E497" s="53" t="s">
        <v>25</v>
      </c>
      <c r="F497" s="54" t="s">
        <v>360</v>
      </c>
      <c r="G497" s="43">
        <v>10000</v>
      </c>
      <c r="H497" s="43">
        <v>10000</v>
      </c>
      <c r="I497" s="43">
        <v>287</v>
      </c>
      <c r="J497" s="43">
        <v>0</v>
      </c>
      <c r="K497" s="43">
        <v>304</v>
      </c>
      <c r="L497" s="43">
        <v>0</v>
      </c>
      <c r="M497" s="44">
        <f t="shared" si="29"/>
        <v>591</v>
      </c>
      <c r="N497" s="44">
        <f t="shared" si="27"/>
        <v>9409</v>
      </c>
      <c r="O497" s="52" t="s">
        <v>19</v>
      </c>
    </row>
    <row r="498" spans="1:15" s="39" customFormat="1" x14ac:dyDescent="0.25">
      <c r="A498" s="12"/>
      <c r="B498" s="52">
        <f t="shared" si="28"/>
        <v>493</v>
      </c>
      <c r="C498" s="53" t="s">
        <v>562</v>
      </c>
      <c r="D498" s="54" t="s">
        <v>356</v>
      </c>
      <c r="E498" s="53" t="s">
        <v>25</v>
      </c>
      <c r="F498" s="54" t="s">
        <v>360</v>
      </c>
      <c r="G498" s="43">
        <v>15000</v>
      </c>
      <c r="H498" s="43">
        <v>15000</v>
      </c>
      <c r="I498" s="43">
        <v>430.5</v>
      </c>
      <c r="J498" s="43">
        <v>0</v>
      </c>
      <c r="K498" s="43">
        <v>456</v>
      </c>
      <c r="L498" s="43">
        <v>2694.99</v>
      </c>
      <c r="M498" s="44">
        <f t="shared" si="29"/>
        <v>3581.49</v>
      </c>
      <c r="N498" s="44">
        <f t="shared" si="27"/>
        <v>11418.51</v>
      </c>
      <c r="O498" s="52" t="s">
        <v>23</v>
      </c>
    </row>
    <row r="499" spans="1:15" s="39" customFormat="1" x14ac:dyDescent="0.25">
      <c r="A499" s="12"/>
      <c r="B499" s="52">
        <f t="shared" si="28"/>
        <v>494</v>
      </c>
      <c r="C499" s="53" t="s">
        <v>586</v>
      </c>
      <c r="D499" s="54" t="s">
        <v>356</v>
      </c>
      <c r="E499" s="53" t="s">
        <v>25</v>
      </c>
      <c r="F499" s="54" t="s">
        <v>360</v>
      </c>
      <c r="G499" s="43">
        <v>10000</v>
      </c>
      <c r="H499" s="43">
        <f>+G499</f>
        <v>10000</v>
      </c>
      <c r="I499" s="43">
        <f>+H499*2.87%</f>
        <v>287</v>
      </c>
      <c r="J499" s="43">
        <v>0</v>
      </c>
      <c r="K499" s="43">
        <f>+G499*3.04%</f>
        <v>304</v>
      </c>
      <c r="L499" s="43">
        <v>0</v>
      </c>
      <c r="M499" s="44">
        <f>+K499+I499</f>
        <v>591</v>
      </c>
      <c r="N499" s="44">
        <f t="shared" si="27"/>
        <v>9409</v>
      </c>
      <c r="O499" s="52"/>
    </row>
    <row r="500" spans="1:15" s="39" customFormat="1" x14ac:dyDescent="0.25">
      <c r="A500" s="12"/>
      <c r="B500" s="52">
        <f t="shared" si="28"/>
        <v>495</v>
      </c>
      <c r="C500" s="53" t="s">
        <v>563</v>
      </c>
      <c r="D500" s="54" t="s">
        <v>564</v>
      </c>
      <c r="E500" s="53" t="s">
        <v>25</v>
      </c>
      <c r="F500" s="54" t="s">
        <v>565</v>
      </c>
      <c r="G500" s="43">
        <v>25000</v>
      </c>
      <c r="H500" s="43">
        <v>25000</v>
      </c>
      <c r="I500" s="43">
        <v>717.5</v>
      </c>
      <c r="J500" s="43">
        <v>0</v>
      </c>
      <c r="K500" s="43">
        <v>760</v>
      </c>
      <c r="L500" s="43">
        <v>31.21</v>
      </c>
      <c r="M500" s="44">
        <f t="shared" ref="M500:M510" si="30">SUM(I500:L500)</f>
        <v>1508.71</v>
      </c>
      <c r="N500" s="44">
        <f t="shared" si="27"/>
        <v>23491.29</v>
      </c>
      <c r="O500" s="52" t="s">
        <v>23</v>
      </c>
    </row>
    <row r="501" spans="1:15" s="39" customFormat="1" x14ac:dyDescent="0.25">
      <c r="A501" s="12"/>
      <c r="B501" s="52">
        <f t="shared" si="28"/>
        <v>496</v>
      </c>
      <c r="C501" s="53" t="s">
        <v>566</v>
      </c>
      <c r="D501" s="54" t="s">
        <v>564</v>
      </c>
      <c r="E501" s="53" t="s">
        <v>25</v>
      </c>
      <c r="F501" s="54" t="s">
        <v>565</v>
      </c>
      <c r="G501" s="43">
        <v>25000</v>
      </c>
      <c r="H501" s="43">
        <v>25000</v>
      </c>
      <c r="I501" s="43">
        <v>717.5</v>
      </c>
      <c r="J501" s="43">
        <v>0</v>
      </c>
      <c r="K501" s="43">
        <v>760</v>
      </c>
      <c r="L501" s="43">
        <f>3301.64+31.21+1800+5273.55+3430.92+1142.91</f>
        <v>14980.230000000001</v>
      </c>
      <c r="M501" s="44">
        <f t="shared" si="30"/>
        <v>16457.730000000003</v>
      </c>
      <c r="N501" s="44">
        <f t="shared" si="27"/>
        <v>8542.2699999999968</v>
      </c>
      <c r="O501" s="52" t="s">
        <v>19</v>
      </c>
    </row>
    <row r="502" spans="1:15" s="39" customFormat="1" x14ac:dyDescent="0.25">
      <c r="A502" s="12"/>
      <c r="B502" s="52">
        <f t="shared" si="28"/>
        <v>497</v>
      </c>
      <c r="C502" s="53" t="s">
        <v>567</v>
      </c>
      <c r="D502" s="54" t="s">
        <v>564</v>
      </c>
      <c r="E502" s="53" t="s">
        <v>25</v>
      </c>
      <c r="F502" s="54" t="s">
        <v>565</v>
      </c>
      <c r="G502" s="43">
        <v>15400</v>
      </c>
      <c r="H502" s="43">
        <v>15400</v>
      </c>
      <c r="I502" s="43">
        <v>441.98</v>
      </c>
      <c r="J502" s="43">
        <v>0</v>
      </c>
      <c r="K502" s="43">
        <v>468.16</v>
      </c>
      <c r="L502" s="43">
        <f>31.21+1000+2988.35</f>
        <v>4019.56</v>
      </c>
      <c r="M502" s="44">
        <f t="shared" si="30"/>
        <v>4929.7</v>
      </c>
      <c r="N502" s="44">
        <f t="shared" si="27"/>
        <v>10470.299999999999</v>
      </c>
      <c r="O502" s="52" t="s">
        <v>23</v>
      </c>
    </row>
    <row r="503" spans="1:15" s="39" customFormat="1" x14ac:dyDescent="0.25">
      <c r="A503" s="12"/>
      <c r="B503" s="52">
        <f t="shared" si="28"/>
        <v>498</v>
      </c>
      <c r="C503" s="53" t="s">
        <v>568</v>
      </c>
      <c r="D503" s="54" t="s">
        <v>564</v>
      </c>
      <c r="E503" s="53" t="s">
        <v>25</v>
      </c>
      <c r="F503" s="54" t="s">
        <v>569</v>
      </c>
      <c r="G503" s="43">
        <v>25000</v>
      </c>
      <c r="H503" s="43">
        <v>25000</v>
      </c>
      <c r="I503" s="43">
        <v>717.5</v>
      </c>
      <c r="J503" s="43">
        <v>0</v>
      </c>
      <c r="K503" s="43">
        <v>760</v>
      </c>
      <c r="L503" s="43">
        <v>0</v>
      </c>
      <c r="M503" s="44">
        <f t="shared" si="30"/>
        <v>1477.5</v>
      </c>
      <c r="N503" s="44">
        <f t="shared" si="27"/>
        <v>23522.5</v>
      </c>
      <c r="O503" s="52" t="s">
        <v>19</v>
      </c>
    </row>
    <row r="504" spans="1:15" s="39" customFormat="1" x14ac:dyDescent="0.25">
      <c r="A504" s="12"/>
      <c r="B504" s="52">
        <f t="shared" si="28"/>
        <v>499</v>
      </c>
      <c r="C504" s="53" t="s">
        <v>570</v>
      </c>
      <c r="D504" s="54" t="s">
        <v>571</v>
      </c>
      <c r="E504" s="53" t="s">
        <v>25</v>
      </c>
      <c r="F504" s="54" t="s">
        <v>572</v>
      </c>
      <c r="G504" s="43">
        <v>19000</v>
      </c>
      <c r="H504" s="43">
        <v>19000</v>
      </c>
      <c r="I504" s="43">
        <v>545.29999999999995</v>
      </c>
      <c r="J504" s="43">
        <v>0</v>
      </c>
      <c r="K504" s="43">
        <v>577.6</v>
      </c>
      <c r="L504" s="43">
        <f>415.86+31.21+1000+8132.42+2637.48</f>
        <v>12216.97</v>
      </c>
      <c r="M504" s="44">
        <f t="shared" si="30"/>
        <v>13339.869999999999</v>
      </c>
      <c r="N504" s="44">
        <f t="shared" ref="N504:N507" si="31">G504-M504</f>
        <v>5660.130000000001</v>
      </c>
      <c r="O504" s="52" t="s">
        <v>19</v>
      </c>
    </row>
    <row r="505" spans="1:15" s="39" customFormat="1" x14ac:dyDescent="0.25">
      <c r="A505" s="12"/>
      <c r="B505" s="52">
        <f t="shared" si="28"/>
        <v>500</v>
      </c>
      <c r="C505" s="53" t="s">
        <v>573</v>
      </c>
      <c r="D505" s="54" t="s">
        <v>571</v>
      </c>
      <c r="E505" s="53" t="s">
        <v>25</v>
      </c>
      <c r="F505" s="54" t="s">
        <v>572</v>
      </c>
      <c r="G505" s="43">
        <v>41000</v>
      </c>
      <c r="H505" s="43">
        <v>41000</v>
      </c>
      <c r="I505" s="43">
        <v>1176.7</v>
      </c>
      <c r="J505" s="43">
        <v>583.79</v>
      </c>
      <c r="K505" s="43">
        <v>1246.4000000000001</v>
      </c>
      <c r="L505" s="43">
        <f>10906.78-5875.57+2637.48</f>
        <v>7668.6900000000005</v>
      </c>
      <c r="M505" s="44">
        <f t="shared" si="30"/>
        <v>10675.580000000002</v>
      </c>
      <c r="N505" s="44">
        <f t="shared" si="31"/>
        <v>30324.42</v>
      </c>
      <c r="O505" s="52" t="s">
        <v>23</v>
      </c>
    </row>
    <row r="506" spans="1:15" s="39" customFormat="1" x14ac:dyDescent="0.25">
      <c r="A506" s="12"/>
      <c r="B506" s="52">
        <f t="shared" si="28"/>
        <v>501</v>
      </c>
      <c r="C506" s="53" t="s">
        <v>574</v>
      </c>
      <c r="D506" s="54" t="s">
        <v>571</v>
      </c>
      <c r="E506" s="53" t="s">
        <v>25</v>
      </c>
      <c r="F506" s="54" t="s">
        <v>572</v>
      </c>
      <c r="G506" s="43">
        <v>19000</v>
      </c>
      <c r="H506" s="43">
        <v>19000</v>
      </c>
      <c r="I506" s="43">
        <v>545.29999999999995</v>
      </c>
      <c r="J506" s="43">
        <v>0</v>
      </c>
      <c r="K506" s="43">
        <v>577.6</v>
      </c>
      <c r="L506" s="43">
        <v>6174.09</v>
      </c>
      <c r="M506" s="44">
        <f t="shared" si="30"/>
        <v>7296.99</v>
      </c>
      <c r="N506" s="44">
        <f t="shared" si="31"/>
        <v>11703.01</v>
      </c>
      <c r="O506" s="52" t="s">
        <v>23</v>
      </c>
    </row>
    <row r="507" spans="1:15" s="39" customFormat="1" x14ac:dyDescent="0.25">
      <c r="A507" s="12"/>
      <c r="B507" s="52">
        <f>+B506+1</f>
        <v>502</v>
      </c>
      <c r="C507" s="53" t="s">
        <v>575</v>
      </c>
      <c r="D507" s="54" t="s">
        <v>571</v>
      </c>
      <c r="E507" s="53" t="s">
        <v>25</v>
      </c>
      <c r="F507" s="54" t="s">
        <v>572</v>
      </c>
      <c r="G507" s="43">
        <v>10000</v>
      </c>
      <c r="H507" s="43">
        <v>10000</v>
      </c>
      <c r="I507" s="43">
        <v>287</v>
      </c>
      <c r="J507" s="43">
        <v>0</v>
      </c>
      <c r="K507" s="43">
        <v>304</v>
      </c>
      <c r="L507" s="43">
        <f>31.21+500</f>
        <v>531.21</v>
      </c>
      <c r="M507" s="44">
        <f t="shared" si="30"/>
        <v>1122.21</v>
      </c>
      <c r="N507" s="44">
        <f t="shared" si="31"/>
        <v>8877.7900000000009</v>
      </c>
      <c r="O507" s="52" t="s">
        <v>23</v>
      </c>
    </row>
    <row r="508" spans="1:15" s="39" customFormat="1" x14ac:dyDescent="0.25">
      <c r="A508" s="12"/>
      <c r="B508" s="52">
        <f t="shared" si="28"/>
        <v>503</v>
      </c>
      <c r="C508" s="53" t="s">
        <v>593</v>
      </c>
      <c r="D508" s="54" t="s">
        <v>252</v>
      </c>
      <c r="E508" s="53" t="s">
        <v>21</v>
      </c>
      <c r="F508" s="54" t="s">
        <v>253</v>
      </c>
      <c r="G508" s="45">
        <v>75000</v>
      </c>
      <c r="H508" s="43">
        <v>75000</v>
      </c>
      <c r="I508" s="43">
        <v>2152.5</v>
      </c>
      <c r="J508" s="43">
        <v>6309.38</v>
      </c>
      <c r="K508" s="43">
        <v>2280</v>
      </c>
      <c r="L508" s="43">
        <v>0</v>
      </c>
      <c r="M508" s="44">
        <f t="shared" si="30"/>
        <v>10741.880000000001</v>
      </c>
      <c r="N508" s="44">
        <f>G509-M508</f>
        <v>64258.119999999995</v>
      </c>
      <c r="O508" s="52" t="s">
        <v>19</v>
      </c>
    </row>
    <row r="509" spans="1:15" s="39" customFormat="1" x14ac:dyDescent="0.25">
      <c r="A509" s="12"/>
      <c r="B509" s="52">
        <f t="shared" si="28"/>
        <v>504</v>
      </c>
      <c r="C509" s="53" t="s">
        <v>594</v>
      </c>
      <c r="D509" s="54" t="s">
        <v>252</v>
      </c>
      <c r="E509" s="53" t="s">
        <v>21</v>
      </c>
      <c r="F509" s="54" t="s">
        <v>253</v>
      </c>
      <c r="G509" s="43">
        <v>75000</v>
      </c>
      <c r="H509" s="43">
        <v>75000</v>
      </c>
      <c r="I509" s="43">
        <v>2152.5</v>
      </c>
      <c r="J509" s="43">
        <v>6309.38</v>
      </c>
      <c r="K509" s="43">
        <v>2280</v>
      </c>
      <c r="L509" s="43">
        <v>41142.519999999997</v>
      </c>
      <c r="M509" s="44">
        <f t="shared" si="30"/>
        <v>51884.399999999994</v>
      </c>
      <c r="N509" s="44">
        <f t="shared" ref="N509:N525" si="32">+G509-M509</f>
        <v>23115.600000000006</v>
      </c>
      <c r="O509" s="52" t="s">
        <v>23</v>
      </c>
    </row>
    <row r="510" spans="1:15" s="39" customFormat="1" x14ac:dyDescent="0.25">
      <c r="A510" s="12"/>
      <c r="B510" s="52">
        <f t="shared" si="28"/>
        <v>505</v>
      </c>
      <c r="C510" s="53" t="s">
        <v>595</v>
      </c>
      <c r="D510" s="54" t="s">
        <v>252</v>
      </c>
      <c r="E510" s="53" t="s">
        <v>21</v>
      </c>
      <c r="F510" s="54" t="s">
        <v>253</v>
      </c>
      <c r="G510" s="43">
        <v>75000</v>
      </c>
      <c r="H510" s="43">
        <v>75000</v>
      </c>
      <c r="I510" s="43">
        <v>2152.5</v>
      </c>
      <c r="J510" s="43">
        <v>6309.38</v>
      </c>
      <c r="K510" s="43">
        <v>2280</v>
      </c>
      <c r="L510" s="43">
        <v>0</v>
      </c>
      <c r="M510" s="44">
        <f t="shared" si="30"/>
        <v>10741.880000000001</v>
      </c>
      <c r="N510" s="44">
        <f t="shared" si="32"/>
        <v>64258.119999999995</v>
      </c>
      <c r="O510" s="52" t="s">
        <v>23</v>
      </c>
    </row>
    <row r="511" spans="1:15" s="39" customFormat="1" x14ac:dyDescent="0.25">
      <c r="A511" s="12"/>
      <c r="B511" s="52">
        <f t="shared" si="28"/>
        <v>506</v>
      </c>
      <c r="C511" s="53" t="s">
        <v>601</v>
      </c>
      <c r="D511" s="54" t="s">
        <v>356</v>
      </c>
      <c r="E511" s="53" t="s">
        <v>25</v>
      </c>
      <c r="F511" s="54" t="s">
        <v>606</v>
      </c>
      <c r="G511" s="43">
        <v>15000</v>
      </c>
      <c r="H511" s="43">
        <f>+G511</f>
        <v>15000</v>
      </c>
      <c r="I511" s="43">
        <v>430.5</v>
      </c>
      <c r="J511" s="43">
        <v>0</v>
      </c>
      <c r="K511" s="43">
        <v>456.5</v>
      </c>
      <c r="L511" s="43">
        <v>0</v>
      </c>
      <c r="M511" s="44">
        <f>+I511+K511</f>
        <v>887</v>
      </c>
      <c r="N511" s="44">
        <f>+H511-M511</f>
        <v>14113</v>
      </c>
      <c r="O511" s="52" t="s">
        <v>19</v>
      </c>
    </row>
    <row r="512" spans="1:15" s="39" customFormat="1" x14ac:dyDescent="0.25">
      <c r="A512" s="12"/>
      <c r="B512" s="52">
        <f t="shared" si="28"/>
        <v>507</v>
      </c>
      <c r="C512" s="53" t="s">
        <v>602</v>
      </c>
      <c r="D512" s="54" t="s">
        <v>356</v>
      </c>
      <c r="E512" s="53" t="s">
        <v>25</v>
      </c>
      <c r="F512" s="54" t="s">
        <v>360</v>
      </c>
      <c r="G512" s="43">
        <v>15000</v>
      </c>
      <c r="H512" s="43">
        <f t="shared" ref="H512:H517" si="33">+G512</f>
        <v>15000</v>
      </c>
      <c r="I512" s="43">
        <v>430.5</v>
      </c>
      <c r="J512" s="43">
        <v>0</v>
      </c>
      <c r="K512" s="43">
        <v>456.5</v>
      </c>
      <c r="L512" s="43">
        <v>1000</v>
      </c>
      <c r="M512" s="44">
        <v>1886.5</v>
      </c>
      <c r="N512" s="44">
        <f t="shared" ref="N512:N516" si="34">+H512-M512</f>
        <v>13113.5</v>
      </c>
      <c r="O512" s="52" t="s">
        <v>19</v>
      </c>
    </row>
    <row r="513" spans="1:15" s="39" customFormat="1" x14ac:dyDescent="0.25">
      <c r="A513" s="12"/>
      <c r="B513" s="52">
        <f t="shared" si="28"/>
        <v>508</v>
      </c>
      <c r="C513" s="53" t="s">
        <v>603</v>
      </c>
      <c r="D513" s="54" t="s">
        <v>599</v>
      </c>
      <c r="E513" s="53" t="s">
        <v>25</v>
      </c>
      <c r="F513" s="54" t="s">
        <v>62</v>
      </c>
      <c r="G513" s="43">
        <v>10000</v>
      </c>
      <c r="H513" s="43">
        <f t="shared" si="33"/>
        <v>10000</v>
      </c>
      <c r="I513" s="43">
        <v>287</v>
      </c>
      <c r="J513" s="43">
        <v>0</v>
      </c>
      <c r="K513" s="43">
        <v>304</v>
      </c>
      <c r="L513" s="43">
        <v>0</v>
      </c>
      <c r="M513" s="44">
        <f t="shared" ref="M513:M514" si="35">+I513+K513</f>
        <v>591</v>
      </c>
      <c r="N513" s="44">
        <f t="shared" si="34"/>
        <v>9409</v>
      </c>
      <c r="O513" s="52" t="s">
        <v>23</v>
      </c>
    </row>
    <row r="514" spans="1:15" s="39" customFormat="1" x14ac:dyDescent="0.25">
      <c r="A514" s="12"/>
      <c r="B514" s="52">
        <f t="shared" si="28"/>
        <v>509</v>
      </c>
      <c r="C514" s="53" t="s">
        <v>604</v>
      </c>
      <c r="D514" s="54" t="s">
        <v>599</v>
      </c>
      <c r="E514" s="53" t="s">
        <v>25</v>
      </c>
      <c r="F514" s="54" t="s">
        <v>28</v>
      </c>
      <c r="G514" s="43">
        <v>20000</v>
      </c>
      <c r="H514" s="43">
        <f t="shared" si="33"/>
        <v>20000</v>
      </c>
      <c r="I514" s="43">
        <v>574</v>
      </c>
      <c r="J514" s="43">
        <v>0</v>
      </c>
      <c r="K514" s="43">
        <v>608</v>
      </c>
      <c r="L514" s="43">
        <v>0</v>
      </c>
      <c r="M514" s="44">
        <f t="shared" si="35"/>
        <v>1182</v>
      </c>
      <c r="N514" s="44">
        <f t="shared" si="34"/>
        <v>18818</v>
      </c>
      <c r="O514" s="52" t="s">
        <v>23</v>
      </c>
    </row>
    <row r="515" spans="1:15" s="39" customFormat="1" x14ac:dyDescent="0.25">
      <c r="A515" s="12"/>
      <c r="B515" s="52">
        <f t="shared" si="28"/>
        <v>510</v>
      </c>
      <c r="C515" s="53" t="s">
        <v>605</v>
      </c>
      <c r="D515" s="54" t="s">
        <v>599</v>
      </c>
      <c r="E515" s="53" t="s">
        <v>25</v>
      </c>
      <c r="F515" s="54" t="s">
        <v>585</v>
      </c>
      <c r="G515" s="43">
        <v>20000</v>
      </c>
      <c r="H515" s="43">
        <f t="shared" si="33"/>
        <v>20000</v>
      </c>
      <c r="I515" s="43">
        <v>574</v>
      </c>
      <c r="J515" s="43">
        <v>0</v>
      </c>
      <c r="K515" s="43">
        <v>608</v>
      </c>
      <c r="L515" s="43">
        <v>0</v>
      </c>
      <c r="M515" s="44">
        <f>+L515+K515+J515+I515</f>
        <v>1182</v>
      </c>
      <c r="N515" s="44">
        <f t="shared" si="34"/>
        <v>18818</v>
      </c>
      <c r="O515" s="52" t="s">
        <v>19</v>
      </c>
    </row>
    <row r="516" spans="1:15" s="39" customFormat="1" x14ac:dyDescent="0.25">
      <c r="A516" s="12"/>
      <c r="B516" s="52">
        <f t="shared" si="28"/>
        <v>511</v>
      </c>
      <c r="C516" s="53" t="s">
        <v>610</v>
      </c>
      <c r="D516" s="54" t="s">
        <v>59</v>
      </c>
      <c r="E516" s="53" t="s">
        <v>25</v>
      </c>
      <c r="F516" s="54" t="s">
        <v>609</v>
      </c>
      <c r="G516" s="43">
        <v>60000</v>
      </c>
      <c r="H516" s="43">
        <f t="shared" si="33"/>
        <v>60000</v>
      </c>
      <c r="I516" s="43">
        <v>1722</v>
      </c>
      <c r="J516" s="72">
        <v>3486.68</v>
      </c>
      <c r="K516" s="43">
        <v>1824</v>
      </c>
      <c r="L516" s="43">
        <v>0</v>
      </c>
      <c r="M516" s="44">
        <f>+K516+J516+I516</f>
        <v>7032.68</v>
      </c>
      <c r="N516" s="44">
        <f t="shared" si="34"/>
        <v>52967.32</v>
      </c>
      <c r="O516" s="52" t="s">
        <v>19</v>
      </c>
    </row>
    <row r="517" spans="1:15" s="39" customFormat="1" x14ac:dyDescent="0.25">
      <c r="A517" s="12"/>
      <c r="B517" s="52">
        <f t="shared" si="28"/>
        <v>512</v>
      </c>
      <c r="C517" s="53" t="s">
        <v>611</v>
      </c>
      <c r="D517" s="54" t="s">
        <v>59</v>
      </c>
      <c r="E517" s="53" t="s">
        <v>25</v>
      </c>
      <c r="F517" s="54" t="s">
        <v>69</v>
      </c>
      <c r="G517" s="43">
        <v>15000</v>
      </c>
      <c r="H517" s="43">
        <f t="shared" si="33"/>
        <v>15000</v>
      </c>
      <c r="I517" s="43">
        <v>430.5</v>
      </c>
      <c r="J517" s="43">
        <v>0</v>
      </c>
      <c r="K517" s="43">
        <v>456</v>
      </c>
      <c r="L517" s="43">
        <v>0</v>
      </c>
      <c r="M517" s="44">
        <f>+K517+I517</f>
        <v>886.5</v>
      </c>
      <c r="N517" s="44">
        <f>+G517-M517</f>
        <v>14113.5</v>
      </c>
      <c r="O517" s="52" t="s">
        <v>23</v>
      </c>
    </row>
    <row r="518" spans="1:15" s="39" customFormat="1" x14ac:dyDescent="0.25">
      <c r="A518" s="12"/>
      <c r="B518" s="52">
        <f t="shared" si="28"/>
        <v>513</v>
      </c>
      <c r="C518" s="53" t="s">
        <v>612</v>
      </c>
      <c r="D518" s="54" t="s">
        <v>59</v>
      </c>
      <c r="E518" s="53" t="s">
        <v>25</v>
      </c>
      <c r="F518" s="54" t="s">
        <v>106</v>
      </c>
      <c r="G518" s="43">
        <v>15000</v>
      </c>
      <c r="H518" s="43">
        <v>15000</v>
      </c>
      <c r="I518" s="43">
        <v>430.5</v>
      </c>
      <c r="J518" s="43">
        <v>0</v>
      </c>
      <c r="K518" s="43">
        <v>456</v>
      </c>
      <c r="L518" s="43">
        <v>0</v>
      </c>
      <c r="M518" s="44">
        <f>+K518+I518</f>
        <v>886.5</v>
      </c>
      <c r="N518" s="44">
        <f>+G518-M518</f>
        <v>14113.5</v>
      </c>
      <c r="O518" s="52" t="s">
        <v>19</v>
      </c>
    </row>
    <row r="519" spans="1:15" s="39" customFormat="1" x14ac:dyDescent="0.25">
      <c r="A519" s="12"/>
      <c r="B519" s="52">
        <f t="shared" si="28"/>
        <v>514</v>
      </c>
      <c r="C519" s="53" t="s">
        <v>613</v>
      </c>
      <c r="D519" s="54" t="s">
        <v>252</v>
      </c>
      <c r="E519" s="53" t="s">
        <v>21</v>
      </c>
      <c r="F519" s="54" t="s">
        <v>253</v>
      </c>
      <c r="G519" s="43">
        <v>75000</v>
      </c>
      <c r="H519" s="43">
        <v>75000</v>
      </c>
      <c r="I519" s="43">
        <v>2152.5</v>
      </c>
      <c r="J519" s="43">
        <v>6309.38</v>
      </c>
      <c r="K519" s="43">
        <v>2280</v>
      </c>
      <c r="L519" s="43">
        <v>31.21</v>
      </c>
      <c r="M519" s="44">
        <f t="shared" ref="M519:M520" si="36">SUM(I519:L519)</f>
        <v>10773.09</v>
      </c>
      <c r="N519" s="44">
        <f t="shared" si="32"/>
        <v>64226.91</v>
      </c>
      <c r="O519" s="52" t="s">
        <v>19</v>
      </c>
    </row>
    <row r="520" spans="1:15" s="39" customFormat="1" ht="19.5" customHeight="1" x14ac:dyDescent="0.25">
      <c r="A520" s="12"/>
      <c r="B520" s="52">
        <f t="shared" si="28"/>
        <v>515</v>
      </c>
      <c r="C520" s="53" t="s">
        <v>596</v>
      </c>
      <c r="D520" s="54" t="s">
        <v>599</v>
      </c>
      <c r="E520" s="53" t="s">
        <v>25</v>
      </c>
      <c r="F520" s="54" t="s">
        <v>28</v>
      </c>
      <c r="G520" s="43">
        <v>11520.3</v>
      </c>
      <c r="H520" s="43">
        <v>11520.3</v>
      </c>
      <c r="I520" s="43">
        <v>330.63</v>
      </c>
      <c r="J520" s="43">
        <v>0</v>
      </c>
      <c r="K520" s="43">
        <v>350.22</v>
      </c>
      <c r="L520" s="43">
        <v>0</v>
      </c>
      <c r="M520" s="44">
        <f t="shared" si="36"/>
        <v>680.85</v>
      </c>
      <c r="N520" s="44">
        <f t="shared" si="32"/>
        <v>10839.449999999999</v>
      </c>
      <c r="O520" s="52" t="s">
        <v>19</v>
      </c>
    </row>
    <row r="521" spans="1:15" s="39" customFormat="1" x14ac:dyDescent="0.25">
      <c r="A521" s="12"/>
      <c r="B521" s="52">
        <f t="shared" ref="B521:B525" si="37">+B520+1</f>
        <v>516</v>
      </c>
      <c r="C521" s="53" t="s">
        <v>597</v>
      </c>
      <c r="D521" s="54" t="s">
        <v>356</v>
      </c>
      <c r="E521" s="53" t="s">
        <v>25</v>
      </c>
      <c r="F521" s="54" t="s">
        <v>360</v>
      </c>
      <c r="G521" s="43">
        <v>10000</v>
      </c>
      <c r="H521" s="43">
        <v>10000</v>
      </c>
      <c r="I521" s="43">
        <v>287</v>
      </c>
      <c r="J521" s="43">
        <v>0</v>
      </c>
      <c r="K521" s="43">
        <v>304</v>
      </c>
      <c r="L521" s="43">
        <f>3118.92+27.21</f>
        <v>3146.13</v>
      </c>
      <c r="M521" s="44">
        <f>+L521+K521+I521</f>
        <v>3737.13</v>
      </c>
      <c r="N521" s="44">
        <f t="shared" si="32"/>
        <v>6262.87</v>
      </c>
      <c r="O521" s="52" t="s">
        <v>19</v>
      </c>
    </row>
    <row r="522" spans="1:15" s="39" customFormat="1" x14ac:dyDescent="0.25">
      <c r="A522" s="12"/>
      <c r="B522" s="52">
        <f>+B521+1</f>
        <v>517</v>
      </c>
      <c r="C522" s="53" t="s">
        <v>607</v>
      </c>
      <c r="D522" s="54" t="s">
        <v>599</v>
      </c>
      <c r="E522" s="53" t="s">
        <v>25</v>
      </c>
      <c r="F522" s="54" t="s">
        <v>362</v>
      </c>
      <c r="G522" s="43">
        <v>22000</v>
      </c>
      <c r="H522" s="43">
        <v>22000</v>
      </c>
      <c r="I522" s="43">
        <v>631.4</v>
      </c>
      <c r="J522" s="43">
        <v>0</v>
      </c>
      <c r="K522" s="43">
        <v>668.8</v>
      </c>
      <c r="L522" s="43">
        <v>3000</v>
      </c>
      <c r="M522" s="44">
        <f>+L522+K522+J522+I522</f>
        <v>4300.2</v>
      </c>
      <c r="N522" s="44">
        <f>+H522-M522</f>
        <v>17699.8</v>
      </c>
      <c r="O522" s="52" t="s">
        <v>19</v>
      </c>
    </row>
    <row r="523" spans="1:15" s="39" customFormat="1" x14ac:dyDescent="0.25">
      <c r="A523" s="12"/>
      <c r="B523" s="52">
        <f>+B522+1</f>
        <v>518</v>
      </c>
      <c r="C523" s="53" t="s">
        <v>614</v>
      </c>
      <c r="D523" s="54" t="s">
        <v>599</v>
      </c>
      <c r="E523" s="53" t="s">
        <v>25</v>
      </c>
      <c r="F523" s="54" t="s">
        <v>106</v>
      </c>
      <c r="G523" s="43">
        <v>13000</v>
      </c>
      <c r="H523" s="43">
        <v>13000</v>
      </c>
      <c r="I523" s="43">
        <v>373.1</v>
      </c>
      <c r="J523" s="43">
        <v>0</v>
      </c>
      <c r="K523" s="43">
        <v>395.2</v>
      </c>
      <c r="L523" s="43">
        <v>0</v>
      </c>
      <c r="M523" s="44">
        <f t="shared" ref="M523" si="38">SUM(I523:L523)</f>
        <v>768.3</v>
      </c>
      <c r="N523" s="44">
        <f t="shared" ref="N523" si="39">G523-M523</f>
        <v>12231.7</v>
      </c>
      <c r="O523" s="52" t="s">
        <v>19</v>
      </c>
    </row>
    <row r="524" spans="1:15" s="39" customFormat="1" x14ac:dyDescent="0.25">
      <c r="A524" s="37"/>
      <c r="B524" s="60">
        <f>+B523+1</f>
        <v>519</v>
      </c>
      <c r="C524" s="61" t="s">
        <v>608</v>
      </c>
      <c r="D524" s="62" t="s">
        <v>599</v>
      </c>
      <c r="E524" s="61" t="s">
        <v>21</v>
      </c>
      <c r="F524" s="62" t="s">
        <v>600</v>
      </c>
      <c r="G524" s="63">
        <v>18290.79</v>
      </c>
      <c r="H524" s="63">
        <v>18290.79</v>
      </c>
      <c r="I524" s="63">
        <v>524.95000000000005</v>
      </c>
      <c r="J524" s="63">
        <v>0</v>
      </c>
      <c r="K524" s="63">
        <v>556.04</v>
      </c>
      <c r="L524" s="63">
        <v>0</v>
      </c>
      <c r="M524" s="64">
        <f>+L524+K524+I524</f>
        <v>1080.99</v>
      </c>
      <c r="N524" s="64">
        <f t="shared" si="32"/>
        <v>17209.8</v>
      </c>
      <c r="O524" s="60" t="s">
        <v>19</v>
      </c>
    </row>
    <row r="525" spans="1:15" s="39" customFormat="1" x14ac:dyDescent="0.25">
      <c r="A525" s="12"/>
      <c r="B525" s="52">
        <f t="shared" si="37"/>
        <v>520</v>
      </c>
      <c r="C525" s="53" t="s">
        <v>598</v>
      </c>
      <c r="D525" s="54" t="s">
        <v>356</v>
      </c>
      <c r="E525" s="53" t="s">
        <v>25</v>
      </c>
      <c r="F525" s="54" t="s">
        <v>360</v>
      </c>
      <c r="G525" s="43">
        <v>10000</v>
      </c>
      <c r="H525" s="43">
        <v>10000</v>
      </c>
      <c r="I525" s="43">
        <v>287</v>
      </c>
      <c r="J525" s="43">
        <v>0</v>
      </c>
      <c r="K525" s="43">
        <v>304</v>
      </c>
      <c r="L525" s="43">
        <f>1039.64+19.51</f>
        <v>1059.1500000000001</v>
      </c>
      <c r="M525" s="44">
        <f>+L525+K525+I525</f>
        <v>1650.15</v>
      </c>
      <c r="N525" s="44">
        <f t="shared" si="32"/>
        <v>8349.85</v>
      </c>
      <c r="O525" s="52" t="s">
        <v>19</v>
      </c>
    </row>
    <row r="526" spans="1:15" s="39" customFormat="1" x14ac:dyDescent="0.25">
      <c r="A526" s="12"/>
      <c r="B526" s="55"/>
      <c r="C526" s="56" t="s">
        <v>576</v>
      </c>
      <c r="D526" s="57"/>
      <c r="E526" s="58"/>
      <c r="F526" s="57"/>
      <c r="G526" s="70">
        <f>SUM(G5:G525)</f>
        <v>15207547.310000001</v>
      </c>
      <c r="H526" s="70">
        <f>SUM(H5:H525)</f>
        <v>15207547.310000001</v>
      </c>
      <c r="I526" s="70">
        <f>SUM(I5:I525)</f>
        <v>436456.63000000012</v>
      </c>
      <c r="J526" s="59">
        <v>729412.17</v>
      </c>
      <c r="K526" s="59">
        <v>460282.7</v>
      </c>
      <c r="L526" s="59">
        <v>2237487.38</v>
      </c>
      <c r="M526" s="59">
        <v>3862392.8</v>
      </c>
      <c r="N526" s="59">
        <v>11301737.01</v>
      </c>
      <c r="O526" s="55"/>
    </row>
    <row r="527" spans="1:15" s="11" customFormat="1" ht="15" customHeight="1" x14ac:dyDescent="0.2">
      <c r="B527" s="15"/>
      <c r="C527" s="15"/>
      <c r="D527" s="16"/>
      <c r="E527" s="15"/>
      <c r="F527" s="16"/>
      <c r="G527" s="17"/>
      <c r="H527" s="17"/>
      <c r="I527" s="17"/>
      <c r="J527" s="17">
        <f>+J526-728983.3</f>
        <v>428.86999999999534</v>
      </c>
      <c r="K527" s="17"/>
      <c r="L527" s="31"/>
      <c r="M527" s="31"/>
      <c r="N527" s="31"/>
      <c r="O527" s="15"/>
    </row>
    <row r="528" spans="1:15" x14ac:dyDescent="0.25">
      <c r="B528" s="15"/>
      <c r="C528" s="15"/>
      <c r="D528" s="16"/>
      <c r="E528" s="15"/>
      <c r="F528" s="16"/>
      <c r="G528" s="17"/>
      <c r="H528" s="18"/>
      <c r="I528" s="18"/>
      <c r="J528" s="18"/>
      <c r="K528" s="18"/>
      <c r="L528" s="31"/>
      <c r="M528" s="31"/>
      <c r="N528" s="31"/>
      <c r="O528" s="15"/>
    </row>
    <row r="529" spans="1:15" ht="16.5" x14ac:dyDescent="0.35">
      <c r="B529" s="19"/>
      <c r="C529" s="20" t="s">
        <v>577</v>
      </c>
      <c r="D529" s="19"/>
      <c r="E529" s="21" t="s">
        <v>578</v>
      </c>
      <c r="F529" s="19"/>
      <c r="G529" s="22"/>
      <c r="H529" s="23"/>
      <c r="I529" s="23"/>
      <c r="J529" s="23"/>
      <c r="K529" s="24" t="s">
        <v>579</v>
      </c>
      <c r="L529" s="32"/>
      <c r="M529" s="32"/>
      <c r="N529" s="33"/>
      <c r="O529" s="25"/>
    </row>
    <row r="530" spans="1:15" s="3" customFormat="1" x14ac:dyDescent="0.25">
      <c r="B530" s="26"/>
      <c r="C530" s="26" t="s">
        <v>580</v>
      </c>
      <c r="D530" s="26"/>
      <c r="E530" s="27" t="s">
        <v>581</v>
      </c>
      <c r="F530" s="26"/>
      <c r="G530" s="28"/>
      <c r="H530" s="29"/>
      <c r="I530" s="29"/>
      <c r="J530" s="29"/>
      <c r="K530" s="28" t="s">
        <v>582</v>
      </c>
      <c r="L530" s="34"/>
      <c r="M530" s="34"/>
      <c r="N530" s="35"/>
      <c r="O530" s="26"/>
    </row>
    <row r="531" spans="1:15" s="4" customFormat="1" x14ac:dyDescent="0.25">
      <c r="B531" s="5"/>
      <c r="C531" s="5"/>
      <c r="D531" s="5"/>
      <c r="E531" s="5"/>
      <c r="F531" s="5"/>
      <c r="G531" s="6"/>
      <c r="H531" s="7"/>
      <c r="I531" s="7"/>
      <c r="J531" s="7"/>
      <c r="K531" s="7"/>
      <c r="L531" s="8"/>
      <c r="M531" s="8"/>
      <c r="N531" s="8"/>
      <c r="O531" s="1"/>
    </row>
    <row r="532" spans="1:15" x14ac:dyDescent="0.25">
      <c r="A532" s="1"/>
      <c r="L532" s="8"/>
      <c r="M532" s="8"/>
      <c r="N532" s="8"/>
    </row>
    <row r="533" spans="1:15" x14ac:dyDescent="0.25">
      <c r="L533" s="8"/>
      <c r="M533" s="8"/>
      <c r="N533" s="8"/>
    </row>
    <row r="534" spans="1:15" x14ac:dyDescent="0.25">
      <c r="L534" s="8"/>
      <c r="M534" s="8"/>
      <c r="N534" s="8"/>
    </row>
    <row r="535" spans="1:15" x14ac:dyDescent="0.25">
      <c r="L535" s="8"/>
      <c r="M535" s="8"/>
      <c r="N535" s="8"/>
    </row>
    <row r="536" spans="1:15" x14ac:dyDescent="0.25">
      <c r="L536" s="8"/>
      <c r="M536" s="8"/>
      <c r="N536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5" fitToHeight="0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CORRECCIONES</vt:lpstr>
      <vt:lpstr>CORRECCIONES!Transparencia_fijos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2025-05-12T13:24:24Z</cp:lastPrinted>
  <dcterms:created xsi:type="dcterms:W3CDTF">2024-03-27T12:05:18Z</dcterms:created>
  <dcterms:modified xsi:type="dcterms:W3CDTF">2025-07-14T12:38:54Z</dcterms:modified>
</cp:coreProperties>
</file>